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konszignacio" sheetId="1" r:id="rId1"/>
    <sheet name="képletek" sheetId="2" state="hidden" r:id="rId2"/>
    <sheet name="AUTÓK" sheetId="3" state="hidden" r:id="rId3"/>
    <sheet name="adatok2" sheetId="4" state="hidden" r:id="rId4"/>
  </sheets>
  <definedNames>
    <definedName name="KERES">INDIRECT(ADDRESS(MATCH('képletek'!$B1,INDEX(INDIRECT("AUTÓK"),,1),0),2)&amp;":"&amp;ADDRESS(MATCH('képletek'!$B1,INDEX(INDIRECT("AUTÓK"),,1),0)+COUNTIF(INDEX(INDIRECT("AUTÓK"),,1),'képletek'!$B1)-1,2))</definedName>
  </definedNames>
  <calcPr fullCalcOnLoad="1"/>
</workbook>
</file>

<file path=xl/sharedStrings.xml><?xml version="1.0" encoding="utf-8"?>
<sst xmlns="http://schemas.openxmlformats.org/spreadsheetml/2006/main" count="335" uniqueCount="172">
  <si>
    <t>GYÁRTÓ</t>
  </si>
  <si>
    <t>TÍPUS</t>
  </si>
  <si>
    <t>ÁR</t>
  </si>
  <si>
    <t>Képlet:</t>
  </si>
  <si>
    <t>GYÁRTÓ:</t>
  </si>
  <si>
    <t>AUTÓ:</t>
  </si>
  <si>
    <t>TÁBLÁK:</t>
  </si>
  <si>
    <t>INDEX(INDIREKT("GYÁRTÓK");;1)</t>
  </si>
  <si>
    <t>ÁR:</t>
  </si>
  <si>
    <t>(A középső oszlopnak sorbarendezettenk kell lennie a KERES függvényhez!)</t>
  </si>
  <si>
    <t>INDIREKT("'AUTÓK'!" &amp; CÍM(HOL.VAN($B2;INDEX(INDIREKT("AUTÓK");;1);0)+1;2) &amp; ":" &amp;  CÍM(HOL.VAN($B2;INDEX(INDIREKT("AUTÓK");;1);0)+DARABTELI(INDEX(INDIREKT("AUTÓK");;1);$B2);2))</t>
  </si>
  <si>
    <t>activecell.Formula="=""AUTÓK!"" &amp; ADDRESS(MATCH($B$2,AUTÓK[GYÁRTÓ],0)+1,2) &amp; "":"" &amp; ADDRESS(MATCH($B$2,AUTÓK[GYÁRTÓ],0)+COUNTIF(AUTÓK[GYÁRTÓ],$B$2),2)"</t>
  </si>
  <si>
    <t>Érvényesítés: =indirekt($B$10)</t>
  </si>
  <si>
    <t>"Táblázat3!" &amp; CÍM(HOL.VAN($B$4;Táblázat3[Típus];0)+1;2) &amp; ":" &amp; CÍM(HOL.VAN($B$4;Táblázat3[Típus];0)+DARABTELI(Táblázat3[Típus];$B$4);2)</t>
  </si>
  <si>
    <t>Meteor fix kupola, bevilágító felülettel</t>
  </si>
  <si>
    <t>Meteor RWA kupola, bevilágító felülettel</t>
  </si>
  <si>
    <t>Meteor szellőző kupola, bevilágító felülettel</t>
  </si>
  <si>
    <t>Meteor tetőkibúvó kupola, bevilágító felülettel</t>
  </si>
  <si>
    <t>Fix, 16mm vastag opál polikarbonát lemezzel</t>
  </si>
  <si>
    <t>Fix, 25mm vastag opál polikarbonát lemezzel</t>
  </si>
  <si>
    <t>Nyitható, 16 mm vastag opál polikarbonát lemezzel</t>
  </si>
  <si>
    <t>Nyitható, 25 mm vastag opál polikarbonát lemezzel</t>
  </si>
  <si>
    <t>Típus:</t>
  </si>
  <si>
    <t>Tető felülvilágító konszignáció</t>
  </si>
  <si>
    <t>Munkarész megnevezése:</t>
  </si>
  <si>
    <t>Vonatkozó tetőalaprajz jelölése</t>
  </si>
  <si>
    <t>16 mm vastag opál polikarbonát bevilágító felület, nem égve csepegő anyagból</t>
  </si>
  <si>
    <t>25 mm vastag opál polikarbonát bevilágító felület, nem égve csepegő anyagból</t>
  </si>
  <si>
    <t>Alaprajzi jel:</t>
  </si>
  <si>
    <t>Alapadatok</t>
  </si>
  <si>
    <r>
      <t>Készül:</t>
    </r>
    <r>
      <rPr>
        <b/>
        <sz val="11"/>
        <color indexed="8"/>
        <rFont val="Calibri"/>
        <family val="2"/>
      </rPr>
      <t xml:space="preserve"> </t>
    </r>
  </si>
  <si>
    <t>Bevilágító felület</t>
  </si>
  <si>
    <t>Vastagsága:</t>
  </si>
  <si>
    <t>Anyaga:</t>
  </si>
  <si>
    <t>Hőátbocsátási tényező:</t>
  </si>
  <si>
    <t>25 mm</t>
  </si>
  <si>
    <t>opál polikarbonát</t>
  </si>
  <si>
    <t>Lábazat</t>
  </si>
  <si>
    <t>Magassága</t>
  </si>
  <si>
    <t>300 mm</t>
  </si>
  <si>
    <t>horganyzott acéllemez</t>
  </si>
  <si>
    <t>40 mm</t>
  </si>
  <si>
    <t>kőzetgyapot</t>
  </si>
  <si>
    <t>Napi szellőzés</t>
  </si>
  <si>
    <t>Szellőztető nyitómotor</t>
  </si>
  <si>
    <t>nincs</t>
  </si>
  <si>
    <t>Hő- és füstelvezetés:</t>
  </si>
  <si>
    <t>méret</t>
  </si>
  <si>
    <t>Felület 
(m2)</t>
  </si>
  <si>
    <t>Átfolyási szám
(Cv)</t>
  </si>
  <si>
    <t>Aw érték
(m2)</t>
  </si>
  <si>
    <t>Átfolyási szám, a
kiegészítő elem
alkalmazásával (cv)</t>
  </si>
  <si>
    <t>-</t>
  </si>
  <si>
    <t>egyedi</t>
  </si>
  <si>
    <t>PC</t>
  </si>
  <si>
    <t>16 mm</t>
  </si>
  <si>
    <t>víztiszta polikarbonát</t>
  </si>
  <si>
    <t>egyedi (pl:fényzáró)</t>
  </si>
  <si>
    <t>anyag</t>
  </si>
  <si>
    <t>hőszigetelés</t>
  </si>
  <si>
    <t>vastagság</t>
  </si>
  <si>
    <t>polisztirol</t>
  </si>
  <si>
    <t>500 mm</t>
  </si>
  <si>
    <t>PVC fóliabádog</t>
  </si>
  <si>
    <r>
      <t>2,0 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K</t>
    </r>
  </si>
  <si>
    <r>
      <t>1,6 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K</t>
    </r>
  </si>
  <si>
    <t>van</t>
  </si>
  <si>
    <t>típus</t>
  </si>
  <si>
    <t>hőfüst</t>
  </si>
  <si>
    <t>180 / 180</t>
  </si>
  <si>
    <t>180 / 200</t>
  </si>
  <si>
    <t>180 / 210</t>
  </si>
  <si>
    <t>180 / 240</t>
  </si>
  <si>
    <t>180 / 250</t>
  </si>
  <si>
    <t>*</t>
  </si>
  <si>
    <t>Akár</t>
  </si>
  <si>
    <t>egyedi méretű</t>
  </si>
  <si>
    <t>nyíláshoz igazítva!</t>
  </si>
  <si>
    <t>TURBO M KFT.</t>
  </si>
  <si>
    <t>FELÜLVILÁGÍTÓ</t>
  </si>
  <si>
    <t>Nem</t>
  </si>
  <si>
    <t>motor</t>
  </si>
  <si>
    <t>68 °C</t>
  </si>
  <si>
    <t>93 °C</t>
  </si>
  <si>
    <t>141 °C</t>
  </si>
  <si>
    <t>thermo</t>
  </si>
  <si>
    <t>elektromágnes</t>
  </si>
  <si>
    <t>elektronikus</t>
  </si>
  <si>
    <t>pneumatikus</t>
  </si>
  <si>
    <t>Oszlop1</t>
  </si>
  <si>
    <t>Oszlop2</t>
  </si>
  <si>
    <t>ÁR2</t>
  </si>
  <si>
    <t>vezérlés:</t>
  </si>
  <si>
    <t>ÁR22</t>
  </si>
  <si>
    <t>ÁR3</t>
  </si>
  <si>
    <t>vezérlés</t>
  </si>
  <si>
    <t>robbanó gyutacs</t>
  </si>
  <si>
    <t>thermo:</t>
  </si>
  <si>
    <t>aktiválás:</t>
  </si>
  <si>
    <t>Betörés elleni védőrács</t>
  </si>
  <si>
    <t>Rovarháló</t>
  </si>
  <si>
    <t>Leesésvédelmi rögzítőpont</t>
  </si>
  <si>
    <t xml:space="preserve">Létesítmény neve </t>
  </si>
  <si>
    <t>78/a</t>
  </si>
  <si>
    <t>Dátum:</t>
  </si>
  <si>
    <t>ÁR4</t>
  </si>
  <si>
    <t xml:space="preserve"> </t>
  </si>
  <si>
    <t>Tervező neve, elérhetősége</t>
  </si>
  <si>
    <t>szellőzés</t>
  </si>
  <si>
    <r>
      <rPr>
        <sz val="7"/>
        <color indexed="8"/>
        <rFont val="Wide Latin"/>
        <family val="1"/>
      </rPr>
      <t>turbo M Kft.</t>
    </r>
    <r>
      <rPr>
        <sz val="7"/>
        <color indexed="8"/>
        <rFont val="Calibri"/>
        <family val="2"/>
      </rPr>
      <t xml:space="preserve">
1162 Budapest, Rákosi út 126.
Tel: +36 1 257 9105
Fax: +36 1 257 4391</t>
    </r>
  </si>
  <si>
    <t>Nézet:</t>
  </si>
  <si>
    <t>ÁR5</t>
  </si>
  <si>
    <t>Oszlop3</t>
  </si>
  <si>
    <t>idpőjárás</t>
  </si>
  <si>
    <t>Egyedi igény:</t>
  </si>
  <si>
    <t>100*100 cm</t>
  </si>
  <si>
    <t>120*120 cm</t>
  </si>
  <si>
    <t>100*120 cm</t>
  </si>
  <si>
    <t>100*150 cm</t>
  </si>
  <si>
    <t>100*180 cm</t>
  </si>
  <si>
    <t>100*200 cm</t>
  </si>
  <si>
    <t>100*240 cm</t>
  </si>
  <si>
    <t>100*250 cm</t>
  </si>
  <si>
    <t>120*140 cm</t>
  </si>
  <si>
    <t>120*150 cm</t>
  </si>
  <si>
    <t>120*180 cm</t>
  </si>
  <si>
    <t>120*200 cm</t>
  </si>
  <si>
    <t>120*240 cm</t>
  </si>
  <si>
    <t>120*250 cm</t>
  </si>
  <si>
    <t>150*150 cm</t>
  </si>
  <si>
    <t>150*180 cm</t>
  </si>
  <si>
    <t>150*210 cm</t>
  </si>
  <si>
    <t>150*240 cm</t>
  </si>
  <si>
    <t>150*250 cm</t>
  </si>
  <si>
    <t>180*180 cm</t>
  </si>
  <si>
    <t>180*200 cm</t>
  </si>
  <si>
    <t>180*210 cm</t>
  </si>
  <si>
    <t>180*240 cm</t>
  </si>
  <si>
    <t>180*250 cm</t>
  </si>
  <si>
    <t>y</t>
  </si>
  <si>
    <t>100 cm</t>
  </si>
  <si>
    <t>120 cm</t>
  </si>
  <si>
    <t>150 cm</t>
  </si>
  <si>
    <t>180 cm</t>
  </si>
  <si>
    <t>200 cm</t>
  </si>
  <si>
    <t>240 cm</t>
  </si>
  <si>
    <t>250 cm</t>
  </si>
  <si>
    <t>140 cm</t>
  </si>
  <si>
    <t>210 cm</t>
  </si>
  <si>
    <t>Oszlop4</t>
  </si>
  <si>
    <t>Oszlop5</t>
  </si>
  <si>
    <t>Igen</t>
  </si>
  <si>
    <t>Oszlop6</t>
  </si>
  <si>
    <t>Oszlop7</t>
  </si>
  <si>
    <t>rovarháló</t>
  </si>
  <si>
    <t>betörésvédő</t>
  </si>
  <si>
    <t>AUTÓK!$D$161:$D$163</t>
  </si>
  <si>
    <t>Szélesség</t>
  </si>
  <si>
    <t>Hosszúság</t>
  </si>
  <si>
    <t>10 mm</t>
  </si>
  <si>
    <r>
      <t>3,1 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K</t>
    </r>
  </si>
  <si>
    <t>Típusa</t>
  </si>
  <si>
    <t>Belső oldali színezése</t>
  </si>
  <si>
    <t>Nem önhordó</t>
  </si>
  <si>
    <t>Nyílószárny</t>
  </si>
  <si>
    <t>Egyedi kivitelű donga sávfelülvilágító nyílószárnnyal</t>
  </si>
  <si>
    <t>Egyedi kivitelű donga sávfelülvilágító</t>
  </si>
  <si>
    <t>vezérlés új</t>
  </si>
  <si>
    <t>aktiválás új</t>
  </si>
  <si>
    <t>Thermoautomatika:</t>
  </si>
  <si>
    <t>méretellenőrzés</t>
  </si>
  <si>
    <t>fix?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</si>
</sst>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&quot; m2&quot;"/>
    <numFmt numFmtId="165" formatCode="0&quot; db&quot;"/>
    <numFmt numFmtId="166" formatCode="[$-F800]dddd\,\ mmmm\ dd\,\ yyyy"/>
    <numFmt numFmtId="167" formatCode="0.000"/>
    <numFmt numFmtId="168" formatCode="0&quot; mm&quot;"/>
    <numFmt numFmtId="169" formatCode="[$-40E]yyyy\.\ mmmm\ d\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Wide Latin"/>
      <family val="1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1"/>
      <color indexed="12"/>
      <name val="Calibri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1"/>
      <color theme="10"/>
      <name val="Calibri"/>
      <family val="2"/>
    </font>
    <font>
      <b/>
      <sz val="10"/>
      <color theme="1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theme="4" tint="0.39998000860214233"/>
      </left>
      <right/>
      <top style="thin"/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>
        <color theme="4" tint="0.39998000860214233"/>
      </bottom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7" fillId="0" borderId="12" xfId="49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8" fillId="17" borderId="12" xfId="0" applyFont="1" applyFill="1" applyBorder="1" applyAlignment="1" applyProtection="1">
      <alignment horizontal="center" vertical="center" wrapText="1"/>
      <protection locked="0"/>
    </xf>
    <xf numFmtId="0" fontId="48" fillId="17" borderId="13" xfId="0" applyFont="1" applyFill="1" applyBorder="1" applyAlignment="1" applyProtection="1">
      <alignment horizontal="center" vertical="center" wrapText="1"/>
      <protection locked="0"/>
    </xf>
    <xf numFmtId="0" fontId="0" fillId="17" borderId="21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9" borderId="15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9" fillId="0" borderId="15" xfId="0" applyFont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34" borderId="22" xfId="0" applyFont="1" applyFill="1" applyBorder="1" applyAlignment="1" applyProtection="1">
      <alignment vertical="center" wrapText="1"/>
      <protection hidden="1"/>
    </xf>
    <xf numFmtId="0" fontId="0" fillId="34" borderId="23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/>
      <protection hidden="1"/>
    </xf>
    <xf numFmtId="0" fontId="0" fillId="0" borderId="2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42" fillId="0" borderId="15" xfId="0" applyFont="1" applyBorder="1" applyAlignment="1" applyProtection="1">
      <alignment horizontal="center" vertical="center"/>
      <protection hidden="1"/>
    </xf>
    <xf numFmtId="2" fontId="42" fillId="0" borderId="15" xfId="0" applyNumberFormat="1" applyFont="1" applyBorder="1" applyAlignment="1" applyProtection="1">
      <alignment horizontal="center" vertical="center" wrapText="1"/>
      <protection hidden="1"/>
    </xf>
    <xf numFmtId="0" fontId="42" fillId="0" borderId="15" xfId="0" applyFont="1" applyBorder="1" applyAlignment="1" applyProtection="1">
      <alignment horizontal="center" vertical="center" wrapText="1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67" fontId="12" fillId="0" borderId="15" xfId="0" applyNumberFormat="1" applyFont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26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164" fontId="0" fillId="0" borderId="27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 vertical="center" wrapText="1"/>
      <protection hidden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4" borderId="30" xfId="0" applyFont="1" applyFill="1" applyBorder="1" applyAlignment="1">
      <alignment vertical="center" wrapText="1"/>
    </xf>
    <xf numFmtId="168" fontId="0" fillId="9" borderId="15" xfId="0" applyNumberFormat="1" applyFill="1" applyBorder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/>
      <protection hidden="1"/>
    </xf>
    <xf numFmtId="0" fontId="0" fillId="34" borderId="0" xfId="0" applyFont="1" applyFill="1" applyAlignment="1" applyProtection="1">
      <alignment vertical="center" wrapText="1"/>
      <protection hidden="1"/>
    </xf>
    <xf numFmtId="0" fontId="12" fillId="0" borderId="31" xfId="49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0" fillId="0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164" fontId="0" fillId="9" borderId="33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0" fillId="9" borderId="21" xfId="0" applyNumberForma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Fill="1" applyBorder="1" applyAlignment="1" applyProtection="1">
      <alignment horizontal="center" vertical="center" wrapText="1"/>
      <protection locked="0"/>
    </xf>
    <xf numFmtId="168" fontId="0" fillId="0" borderId="11" xfId="0" applyNumberFormat="1" applyFill="1" applyBorder="1" applyAlignment="1" applyProtection="1">
      <alignment horizontal="center" vertical="center" wrapText="1"/>
      <protection locked="0"/>
    </xf>
    <xf numFmtId="168" fontId="0" fillId="0" borderId="34" xfId="0" applyNumberFormat="1" applyFill="1" applyBorder="1" applyAlignment="1" applyProtection="1">
      <alignment horizontal="center" vertical="center" wrapText="1"/>
      <protection locked="0"/>
    </xf>
    <xf numFmtId="164" fontId="0" fillId="0" borderId="34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164" fontId="0" fillId="0" borderId="34" xfId="0" applyNumberForma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12" fillId="0" borderId="13" xfId="49" applyFont="1" applyBorder="1" applyAlignment="1">
      <alignment horizontal="center" vertical="center" wrapText="1"/>
    </xf>
    <xf numFmtId="168" fontId="0" fillId="9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8" fillId="17" borderId="12" xfId="0" applyFont="1" applyFill="1" applyBorder="1" applyAlignment="1" applyProtection="1">
      <alignment horizontal="center" vertical="center" wrapText="1"/>
      <protection locked="0"/>
    </xf>
    <xf numFmtId="0" fontId="50" fillId="9" borderId="23" xfId="0" applyFont="1" applyFill="1" applyBorder="1" applyAlignment="1" applyProtection="1">
      <alignment horizontal="center" vertical="center" wrapText="1"/>
      <protection locked="0"/>
    </xf>
    <xf numFmtId="0" fontId="50" fillId="9" borderId="40" xfId="0" applyFont="1" applyFill="1" applyBorder="1" applyAlignment="1" applyProtection="1">
      <alignment horizontal="center" vertical="center" wrapText="1"/>
      <protection locked="0"/>
    </xf>
    <xf numFmtId="166" fontId="0" fillId="17" borderId="15" xfId="0" applyNumberFormat="1" applyFill="1" applyBorder="1" applyAlignment="1" applyProtection="1">
      <alignment horizontal="center" vertical="center"/>
      <protection locked="0"/>
    </xf>
    <xf numFmtId="0" fontId="51" fillId="0" borderId="35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2" fillId="0" borderId="23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5" fontId="0" fillId="17" borderId="47" xfId="0" applyNumberFormat="1" applyFill="1" applyBorder="1" applyAlignment="1" applyProtection="1">
      <alignment horizontal="center" vertical="center" wrapText="1"/>
      <protection locked="0"/>
    </xf>
    <xf numFmtId="165" fontId="0" fillId="17" borderId="48" xfId="0" applyNumberForma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3"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 patternType="lightUp">
          <fgColor theme="0" tint="-0.24993999302387238"/>
        </patternFill>
      </fill>
    </dxf>
    <dxf>
      <fill>
        <patternFill>
          <bgColor theme="9" tint="0.5999600291252136"/>
        </patternFill>
      </fill>
    </dxf>
    <dxf>
      <fill>
        <patternFill patternType="lightUp">
          <fgColor theme="0" tint="-0.24993999302387238"/>
        </patternFill>
      </fill>
    </dxf>
    <dxf>
      <fill>
        <patternFill>
          <bgColor theme="9" tint="0.7999799847602844"/>
        </patternFill>
      </fill>
    </dxf>
    <dxf>
      <fill>
        <patternFill patternType="lightUp">
          <fgColor theme="0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28575</xdr:colOff>
      <xdr:row>0</xdr:row>
      <xdr:rowOff>400050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162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22</xdr:row>
      <xdr:rowOff>152400</xdr:rowOff>
    </xdr:from>
    <xdr:to>
      <xdr:col>5</xdr:col>
      <xdr:colOff>85725</xdr:colOff>
      <xdr:row>34</xdr:row>
      <xdr:rowOff>28575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134225"/>
          <a:ext cx="46767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</xdr:row>
      <xdr:rowOff>123825</xdr:rowOff>
    </xdr:from>
    <xdr:to>
      <xdr:col>3</xdr:col>
      <xdr:colOff>438150</xdr:colOff>
      <xdr:row>24</xdr:row>
      <xdr:rowOff>85725</xdr:rowOff>
    </xdr:to>
    <xdr:sp textlink="$E$7">
      <xdr:nvSpPr>
        <xdr:cNvPr id="3" name="Szövegdoboz 3"/>
        <xdr:cNvSpPr txBox="1">
          <a:spLocks noChangeArrowheads="1"/>
        </xdr:cNvSpPr>
      </xdr:nvSpPr>
      <xdr:spPr>
        <a:xfrm>
          <a:off x="2752725" y="7305675"/>
          <a:ext cx="1238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d980975-d760-4a49-a94b-abb29e86ca8f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8000 mm</a:t>
          </a:fld>
        </a:p>
      </xdr:txBody>
    </xdr:sp>
    <xdr:clientData/>
  </xdr:twoCellAnchor>
  <xdr:twoCellAnchor>
    <xdr:from>
      <xdr:col>2</xdr:col>
      <xdr:colOff>247650</xdr:colOff>
      <xdr:row>32</xdr:row>
      <xdr:rowOff>161925</xdr:rowOff>
    </xdr:from>
    <xdr:to>
      <xdr:col>3</xdr:col>
      <xdr:colOff>19050</xdr:colOff>
      <xdr:row>33</xdr:row>
      <xdr:rowOff>161925</xdr:rowOff>
    </xdr:to>
    <xdr:sp textlink="$E$15">
      <xdr:nvSpPr>
        <xdr:cNvPr id="4" name="Szövegdoboz 5"/>
        <xdr:cNvSpPr txBox="1">
          <a:spLocks noChangeArrowheads="1"/>
        </xdr:cNvSpPr>
      </xdr:nvSpPr>
      <xdr:spPr>
        <a:xfrm>
          <a:off x="2762250" y="9058275"/>
          <a:ext cx="809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0be5252-b5fe-405c-8b10-dc307be60d8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  <xdr:twoCellAnchor>
    <xdr:from>
      <xdr:col>4</xdr:col>
      <xdr:colOff>266700</xdr:colOff>
      <xdr:row>28</xdr:row>
      <xdr:rowOff>57150</xdr:rowOff>
    </xdr:from>
    <xdr:to>
      <xdr:col>4</xdr:col>
      <xdr:colOff>1085850</xdr:colOff>
      <xdr:row>29</xdr:row>
      <xdr:rowOff>57150</xdr:rowOff>
    </xdr:to>
    <xdr:sp textlink="$D$7">
      <xdr:nvSpPr>
        <xdr:cNvPr id="5" name="Szövegdoboz 6"/>
        <xdr:cNvSpPr txBox="1">
          <a:spLocks noChangeArrowheads="1"/>
        </xdr:cNvSpPr>
      </xdr:nvSpPr>
      <xdr:spPr>
        <a:xfrm>
          <a:off x="4829175" y="8191500"/>
          <a:ext cx="819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dfdb267-b739-4c66-ab1f-fc59235d2d1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 mm</a:t>
          </a:fld>
        </a:p>
      </xdr:txBody>
    </xdr:sp>
    <xdr:clientData/>
  </xdr:twoCellAnchor>
  <xdr:twoCellAnchor>
    <xdr:from>
      <xdr:col>1</xdr:col>
      <xdr:colOff>428625</xdr:colOff>
      <xdr:row>24</xdr:row>
      <xdr:rowOff>95250</xdr:rowOff>
    </xdr:from>
    <xdr:to>
      <xdr:col>4</xdr:col>
      <xdr:colOff>190500</xdr:colOff>
      <xdr:row>24</xdr:row>
      <xdr:rowOff>95250</xdr:rowOff>
    </xdr:to>
    <xdr:sp>
      <xdr:nvSpPr>
        <xdr:cNvPr id="6" name="Egyenes összekötő nyíllal 7"/>
        <xdr:cNvSpPr>
          <a:spLocks/>
        </xdr:cNvSpPr>
      </xdr:nvSpPr>
      <xdr:spPr>
        <a:xfrm>
          <a:off x="1647825" y="7467600"/>
          <a:ext cx="3105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33</xdr:row>
      <xdr:rowOff>0</xdr:rowOff>
    </xdr:from>
    <xdr:to>
      <xdr:col>3</xdr:col>
      <xdr:colOff>85725</xdr:colOff>
      <xdr:row>33</xdr:row>
      <xdr:rowOff>0</xdr:rowOff>
    </xdr:to>
    <xdr:sp>
      <xdr:nvSpPr>
        <xdr:cNvPr id="7" name="Egyenes összekötő nyíllal 10"/>
        <xdr:cNvSpPr>
          <a:spLocks/>
        </xdr:cNvSpPr>
      </xdr:nvSpPr>
      <xdr:spPr>
        <a:xfrm>
          <a:off x="2628900" y="908685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57150</xdr:rowOff>
    </xdr:from>
    <xdr:to>
      <xdr:col>4</xdr:col>
      <xdr:colOff>295275</xdr:colOff>
      <xdr:row>32</xdr:row>
      <xdr:rowOff>114300</xdr:rowOff>
    </xdr:to>
    <xdr:sp>
      <xdr:nvSpPr>
        <xdr:cNvPr id="8" name="Egyenes összekötő nyíllal 12"/>
        <xdr:cNvSpPr>
          <a:spLocks/>
        </xdr:cNvSpPr>
      </xdr:nvSpPr>
      <xdr:spPr>
        <a:xfrm flipV="1">
          <a:off x="4857750" y="7620000"/>
          <a:ext cx="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AUT?K4" displayName="AUT?K4" ref="A70:C80" comment="" totalsRowShown="0">
  <autoFilter ref="A70:C80"/>
  <tableColumns count="3">
    <tableColumn id="1" name="GYÁRTÓ"/>
    <tableColumn id="2" name="TÍPUS"/>
    <tableColumn id="3" name="Á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meteor" displayName="meteor" ref="A130:C137" comment="" totalsRowShown="0">
  <autoFilter ref="A130:C137"/>
  <tableColumns count="3">
    <tableColumn id="1" name="típus"/>
    <tableColumn id="2" name="thermo"/>
    <tableColumn id="3" name="hőfüs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AUT?K" displayName="AUT?K" ref="A1:Q8" comment="" totalsRowShown="0">
  <autoFilter ref="A1:Q8"/>
  <tableColumns count="17">
    <tableColumn id="1" name="GYÁRTÓ"/>
    <tableColumn id="2" name="TÍPUS"/>
    <tableColumn id="4" name="Oszlop1"/>
    <tableColumn id="5" name="ÁR"/>
    <tableColumn id="6" name="Oszlop2"/>
    <tableColumn id="7" name="ÁR2"/>
    <tableColumn id="9" name="vezérlés"/>
    <tableColumn id="8" name="ÁR3"/>
    <tableColumn id="10" name="ÁR4"/>
    <tableColumn id="11" name="ÁR5"/>
    <tableColumn id="12" name="motor"/>
    <tableColumn id="13" name="Oszlop3"/>
    <tableColumn id="14" name="Oszlop4"/>
    <tableColumn id="15" name="Oszlop5"/>
    <tableColumn id="16" name="Oszlop6"/>
    <tableColumn id="17" name="Oszlop7"/>
    <tableColumn id="3" name="ÁR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bom.hu/meteor-felulvilagito-kupolak/ho-es-fustelvezetes/#vezerles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G154"/>
  <sheetViews>
    <sheetView tabSelected="1" view="pageBreakPreview" zoomScale="70" zoomScaleSheetLayoutView="70" zoomScalePageLayoutView="70" workbookViewId="0" topLeftCell="A16">
      <selection activeCell="B5" sqref="B5:E5"/>
    </sheetView>
  </sheetViews>
  <sheetFormatPr defaultColWidth="9.140625" defaultRowHeight="15"/>
  <cols>
    <col min="1" max="1" width="18.28125" style="0" customWidth="1"/>
    <col min="2" max="2" width="19.421875" style="0" customWidth="1"/>
    <col min="3" max="3" width="15.57421875" style="0" customWidth="1"/>
    <col min="4" max="4" width="15.140625" style="0" customWidth="1"/>
    <col min="5" max="5" width="21.421875" style="0" customWidth="1"/>
  </cols>
  <sheetData>
    <row r="1" spans="1:5" ht="32.25" customHeight="1">
      <c r="A1" s="1"/>
      <c r="B1" s="17" t="s">
        <v>107</v>
      </c>
      <c r="C1" s="85" t="s">
        <v>102</v>
      </c>
      <c r="D1" s="85"/>
      <c r="E1" s="18" t="s">
        <v>25</v>
      </c>
    </row>
    <row r="2" spans="1:5" ht="15">
      <c r="A2" s="89" t="s">
        <v>109</v>
      </c>
      <c r="B2" s="93" t="s">
        <v>24</v>
      </c>
      <c r="C2" s="93"/>
      <c r="D2" s="93"/>
      <c r="E2" s="94"/>
    </row>
    <row r="3" spans="1:5" ht="27" customHeight="1">
      <c r="A3" s="90"/>
      <c r="B3" s="91" t="s">
        <v>23</v>
      </c>
      <c r="C3" s="91"/>
      <c r="D3" s="91"/>
      <c r="E3" s="92"/>
    </row>
    <row r="4" spans="1:5" ht="36" customHeight="1">
      <c r="A4" s="14" t="s">
        <v>104</v>
      </c>
      <c r="B4" s="88">
        <v>42047</v>
      </c>
      <c r="C4" s="88"/>
      <c r="D4" s="6" t="s">
        <v>28</v>
      </c>
      <c r="E4" s="19" t="s">
        <v>103</v>
      </c>
    </row>
    <row r="5" spans="1:5" ht="33" customHeight="1" thickBot="1">
      <c r="A5" s="77" t="s">
        <v>22</v>
      </c>
      <c r="B5" s="86" t="s">
        <v>166</v>
      </c>
      <c r="C5" s="86"/>
      <c r="D5" s="86"/>
      <c r="E5" s="87"/>
    </row>
    <row r="6" spans="1:5" ht="15">
      <c r="A6" s="95" t="s">
        <v>29</v>
      </c>
      <c r="B6" s="105" t="s">
        <v>30</v>
      </c>
      <c r="C6" s="105"/>
      <c r="D6" s="79" t="s">
        <v>157</v>
      </c>
      <c r="E6" s="80" t="s">
        <v>158</v>
      </c>
    </row>
    <row r="7" spans="1:5" ht="33" customHeight="1">
      <c r="A7" s="83"/>
      <c r="B7" s="106">
        <v>2</v>
      </c>
      <c r="C7" s="107"/>
      <c r="D7" s="61">
        <v>2000</v>
      </c>
      <c r="E7" s="81">
        <v>8000</v>
      </c>
    </row>
    <row r="8" spans="1:5" ht="30" customHeight="1" thickBot="1">
      <c r="A8" s="84"/>
      <c r="B8" s="2" t="str">
        <f>+IF(OR(D7="egyedi",E7="egyedi")=TRUE,"Egyedi igény:"," ")</f>
        <v> </v>
      </c>
      <c r="C8" s="96"/>
      <c r="D8" s="97"/>
      <c r="E8" s="98"/>
    </row>
    <row r="9" spans="1:5" ht="30">
      <c r="A9" s="82" t="s">
        <v>31</v>
      </c>
      <c r="B9" s="3" t="s">
        <v>32</v>
      </c>
      <c r="C9" s="3" t="s">
        <v>33</v>
      </c>
      <c r="D9" s="15" t="s">
        <v>34</v>
      </c>
      <c r="E9" s="4" t="str">
        <f>+IF(OR(B10="egyedi",C10="egyedi (pl:fényzáró)")=TRUE,"Egyedi igény:"," ")</f>
        <v>Egyedi igény:</v>
      </c>
    </row>
    <row r="10" spans="1:5" ht="30.75" thickBot="1">
      <c r="A10" s="84"/>
      <c r="B10" s="20" t="s">
        <v>55</v>
      </c>
      <c r="C10" s="20" t="s">
        <v>57</v>
      </c>
      <c r="D10" s="5" t="str">
        <f>+VLOOKUP(B10,konszignacio!A122:B125,2,0)</f>
        <v>2,0 W/m2K</v>
      </c>
      <c r="E10" s="78"/>
    </row>
    <row r="11" spans="1:5" ht="30" customHeight="1">
      <c r="A11" s="82" t="s">
        <v>37</v>
      </c>
      <c r="B11" s="69" t="s">
        <v>161</v>
      </c>
      <c r="C11" s="69" t="s">
        <v>38</v>
      </c>
      <c r="D11" s="54" t="s">
        <v>32</v>
      </c>
      <c r="E11" s="70" t="s">
        <v>162</v>
      </c>
    </row>
    <row r="12" spans="1:5" ht="29.25" customHeight="1">
      <c r="A12" s="83"/>
      <c r="B12" s="68" t="s">
        <v>163</v>
      </c>
      <c r="C12" s="61">
        <v>400</v>
      </c>
      <c r="D12" s="61">
        <v>80</v>
      </c>
      <c r="E12" s="71" t="s">
        <v>53</v>
      </c>
    </row>
    <row r="13" spans="1:5" ht="30" customHeight="1" thickBot="1">
      <c r="A13" s="84"/>
      <c r="B13" s="2" t="str">
        <f>+IF(OR(C12="egyedi",D12="egyedi",E12="egyedi")=TRUE,"Egyedi igény:"," ")</f>
        <v>Egyedi igény:</v>
      </c>
      <c r="C13" s="101"/>
      <c r="D13" s="101"/>
      <c r="E13" s="102"/>
    </row>
    <row r="14" spans="1:5" ht="42" customHeight="1">
      <c r="A14" s="103" t="s">
        <v>164</v>
      </c>
      <c r="B14" s="54" t="str">
        <f>+IF(OR($B$5="Egyedi kivitelű donga sávfelülvilágító")=TRUE," ","Összes darabszám")</f>
        <v> </v>
      </c>
      <c r="C14" s="54" t="str">
        <f>+IF(OR($B$5="Egyedi kivitelű donga sávfelülvilágító")=TRUE," ","RWA nyílószárnyak darabszáma")</f>
        <v> </v>
      </c>
      <c r="D14" s="54" t="str">
        <f>+IF(OR($B$5="Egyedi kivitelű donga sávfelülvilágító")=TRUE," ","Szélesség")</f>
        <v> </v>
      </c>
      <c r="E14" s="4" t="str">
        <f>+IF(OR($B$5="Egyedi kivitelű donga sávfelülvilágító")=TRUE," ","Hosszúság")</f>
        <v> </v>
      </c>
    </row>
    <row r="15" spans="1:5" ht="30" customHeight="1" thickBot="1">
      <c r="A15" s="104"/>
      <c r="B15" s="72" t="s">
        <v>106</v>
      </c>
      <c r="C15" s="72" t="s">
        <v>106</v>
      </c>
      <c r="D15" s="73"/>
      <c r="E15" s="74"/>
    </row>
    <row r="16" spans="1:5" ht="15">
      <c r="A16" s="99" t="s">
        <v>43</v>
      </c>
      <c r="B16" s="52" t="str">
        <f>+IF(OR($B$5="Egyedi kivitelű donga sávfelülvilágító")=TRUE," ","Szellőztető nyitómotor")</f>
        <v> </v>
      </c>
      <c r="C16" s="53" t="str">
        <f>+IF(B17="van","Lökethossz:"," ")</f>
        <v> </v>
      </c>
      <c r="D16" s="108" t="str">
        <f>+IF(B17="van","Időjárás érzékelő:"," ")</f>
        <v> </v>
      </c>
      <c r="E16" s="109"/>
    </row>
    <row r="17" spans="1:5" ht="15.75" thickBot="1">
      <c r="A17" s="100"/>
      <c r="B17" s="66"/>
      <c r="C17" s="57" t="s">
        <v>106</v>
      </c>
      <c r="D17" s="110"/>
      <c r="E17" s="111"/>
    </row>
    <row r="18" spans="1:5" ht="15">
      <c r="A18" s="82" t="s">
        <v>46</v>
      </c>
      <c r="B18" s="56" t="str">
        <f>+IF(+COUNTIF(C15,"&gt;=1"),"Thermoautomatika:"," ")</f>
        <v> </v>
      </c>
      <c r="C18" s="7" t="str">
        <f>+IF(+COUNTIF(C15,"&gt;=1"),"Vezérlés:"," ")</f>
        <v> </v>
      </c>
      <c r="D18" s="7" t="str">
        <f>+IF(C19="elektronikus","Aktiválás:"," ")</f>
        <v> </v>
      </c>
      <c r="E18" s="64" t="str">
        <f>+IF(+COUNTIF(C15,"&gt;=1"),"Hatásos nyílásfelület:"," ")</f>
        <v> </v>
      </c>
    </row>
    <row r="19" spans="1:5" ht="15.75" customHeight="1" thickBot="1">
      <c r="A19" s="84"/>
      <c r="B19" s="21"/>
      <c r="C19" s="21" t="s">
        <v>106</v>
      </c>
      <c r="D19" s="67" t="s">
        <v>106</v>
      </c>
      <c r="E19" s="75" t="str">
        <f>+IF(+COUNTIF(C15,"&gt;=1"),C15*((D15*E15)*0.55/(1000*1000))," ")</f>
        <v> </v>
      </c>
    </row>
    <row r="20" spans="1:5" ht="15">
      <c r="A20" s="113"/>
      <c r="B20" s="115" t="s">
        <v>44</v>
      </c>
      <c r="C20" s="115"/>
      <c r="D20" s="16" t="str">
        <f>IF(B17="van","Igen","Nem")</f>
        <v>Nem</v>
      </c>
      <c r="E20" s="65" t="s">
        <v>114</v>
      </c>
    </row>
    <row r="21" spans="1:5" ht="15">
      <c r="A21" s="113"/>
      <c r="B21" s="115" t="s">
        <v>99</v>
      </c>
      <c r="C21" s="115"/>
      <c r="D21" s="22" t="s">
        <v>80</v>
      </c>
      <c r="E21" s="58"/>
    </row>
    <row r="22" spans="1:5" ht="15">
      <c r="A22" s="113"/>
      <c r="B22" s="115" t="s">
        <v>100</v>
      </c>
      <c r="C22" s="115"/>
      <c r="D22" s="22" t="s">
        <v>80</v>
      </c>
      <c r="E22" s="58"/>
    </row>
    <row r="23" spans="1:5" ht="15.75" thickBot="1">
      <c r="A23" s="114"/>
      <c r="B23" s="112" t="s">
        <v>101</v>
      </c>
      <c r="C23" s="112"/>
      <c r="D23" s="23" t="s">
        <v>80</v>
      </c>
      <c r="E23" s="59"/>
    </row>
    <row r="24" spans="1:5" ht="15">
      <c r="A24" s="82" t="s">
        <v>110</v>
      </c>
      <c r="B24" s="8"/>
      <c r="C24" s="8"/>
      <c r="D24" s="8"/>
      <c r="E24" s="9"/>
    </row>
    <row r="25" spans="1:5" ht="15">
      <c r="A25" s="83"/>
      <c r="B25" s="10"/>
      <c r="C25" s="10"/>
      <c r="D25" s="10"/>
      <c r="E25" s="11"/>
    </row>
    <row r="26" spans="1:5" ht="15">
      <c r="A26" s="83"/>
      <c r="B26" s="10"/>
      <c r="C26" s="10"/>
      <c r="D26" s="10"/>
      <c r="E26" s="11"/>
    </row>
    <row r="27" spans="1:5" ht="15">
      <c r="A27" s="83"/>
      <c r="B27" s="10"/>
      <c r="C27" s="10"/>
      <c r="D27" s="10"/>
      <c r="E27" s="11"/>
    </row>
    <row r="28" spans="1:5" ht="15">
      <c r="A28" s="83"/>
      <c r="B28" s="10"/>
      <c r="C28" s="10"/>
      <c r="D28" s="10"/>
      <c r="E28" s="11"/>
    </row>
    <row r="29" spans="1:5" ht="15">
      <c r="A29" s="83"/>
      <c r="B29" s="10"/>
      <c r="C29" s="10"/>
      <c r="D29" s="10"/>
      <c r="E29" s="11"/>
    </row>
    <row r="30" spans="1:5" ht="15">
      <c r="A30" s="83"/>
      <c r="B30" s="10"/>
      <c r="C30" s="10"/>
      <c r="D30" s="10"/>
      <c r="E30" s="11"/>
    </row>
    <row r="31" spans="1:5" ht="15">
      <c r="A31" s="83"/>
      <c r="B31" s="10"/>
      <c r="C31" s="10"/>
      <c r="D31" s="10"/>
      <c r="E31" s="11"/>
    </row>
    <row r="32" spans="1:5" ht="15">
      <c r="A32" s="83"/>
      <c r="B32" s="10"/>
      <c r="C32" s="10"/>
      <c r="D32" s="10"/>
      <c r="E32" s="11"/>
    </row>
    <row r="33" spans="1:5" ht="15">
      <c r="A33" s="83"/>
      <c r="B33" s="10"/>
      <c r="C33" s="10"/>
      <c r="D33" s="10"/>
      <c r="E33" s="11"/>
    </row>
    <row r="34" spans="1:5" ht="15">
      <c r="A34" s="83"/>
      <c r="B34" s="10"/>
      <c r="C34" s="10"/>
      <c r="D34" s="10"/>
      <c r="E34" s="11"/>
    </row>
    <row r="35" spans="1:5" ht="15.75" thickBot="1">
      <c r="A35" s="84"/>
      <c r="B35" s="12"/>
      <c r="C35" s="12"/>
      <c r="D35" s="12"/>
      <c r="E35" s="13"/>
    </row>
    <row r="36" spans="1:5" ht="15" hidden="1">
      <c r="A36" s="76"/>
      <c r="B36" s="10"/>
      <c r="C36" s="10"/>
      <c r="D36" s="10"/>
      <c r="E36" s="10"/>
    </row>
    <row r="37" spans="1:5" ht="28.5" customHeight="1" hidden="1">
      <c r="A37" s="76"/>
      <c r="B37" s="10"/>
      <c r="C37" s="10"/>
      <c r="D37" s="10"/>
      <c r="E37" s="10"/>
    </row>
    <row r="38" spans="1:5" ht="15" hidden="1">
      <c r="A38" s="10"/>
      <c r="B38" s="10"/>
      <c r="C38" s="10"/>
      <c r="D38" s="10"/>
      <c r="E38" s="10"/>
    </row>
    <row r="39" spans="1:5" ht="15" hidden="1">
      <c r="A39" s="10"/>
      <c r="B39" s="10"/>
      <c r="C39" s="10"/>
      <c r="D39" s="10"/>
      <c r="E39" s="10"/>
    </row>
    <row r="40" spans="1:5" ht="15" hidden="1">
      <c r="A40" s="24"/>
      <c r="B40" s="24" t="s">
        <v>4</v>
      </c>
      <c r="C40" s="24" t="s">
        <v>5</v>
      </c>
      <c r="D40" s="24" t="s">
        <v>8</v>
      </c>
      <c r="E40" s="24"/>
    </row>
    <row r="41" spans="1:5" ht="15" hidden="1">
      <c r="A41" s="24"/>
      <c r="B41" s="25" t="str">
        <f>+konszignacio!B5</f>
        <v>Egyedi kivitelű donga sávfelülvilágító</v>
      </c>
      <c r="C41" s="26" t="s">
        <v>66</v>
      </c>
      <c r="D41" s="27"/>
      <c r="E41" s="24"/>
    </row>
    <row r="42" spans="1:5" ht="15" hidden="1">
      <c r="A42" s="24"/>
      <c r="B42" s="24"/>
      <c r="C42" s="24"/>
      <c r="D42" s="24"/>
      <c r="E42" s="24"/>
    </row>
    <row r="43" spans="1:5" ht="210" hidden="1">
      <c r="A43" s="24" t="s">
        <v>3</v>
      </c>
      <c r="B43" s="24" t="s">
        <v>7</v>
      </c>
      <c r="C43" s="28" t="s">
        <v>10</v>
      </c>
      <c r="D43" s="24"/>
      <c r="E43" s="24"/>
    </row>
    <row r="44" spans="1:5" ht="15" hidden="1">
      <c r="A44" s="24"/>
      <c r="B44" s="24"/>
      <c r="C44" s="24"/>
      <c r="D44" s="24"/>
      <c r="E44" s="24" t="s">
        <v>171</v>
      </c>
    </row>
    <row r="45" spans="1:5" ht="15" hidden="1">
      <c r="A45" s="24"/>
      <c r="B45" s="24"/>
      <c r="C45" s="29" t="s">
        <v>12</v>
      </c>
      <c r="D45" s="24"/>
      <c r="E45" s="24">
        <f>+IF(B5="Egyedi kivitelű donga sávfelülvilágító",1,0)</f>
        <v>1</v>
      </c>
    </row>
    <row r="46" spans="1:5" ht="15" hidden="1">
      <c r="A46" s="24"/>
      <c r="B46" s="24"/>
      <c r="C46" s="24"/>
      <c r="D46" s="24"/>
      <c r="E46" s="24"/>
    </row>
    <row r="47" spans="1:5" ht="15" hidden="1">
      <c r="A47" s="24"/>
      <c r="B47" s="24"/>
      <c r="C47" s="24"/>
      <c r="D47" s="24"/>
      <c r="E47" s="24"/>
    </row>
    <row r="48" spans="1:5" ht="15" hidden="1">
      <c r="A48" s="24"/>
      <c r="B48" s="24"/>
      <c r="C48" s="24"/>
      <c r="D48" s="24"/>
      <c r="E48" s="24"/>
    </row>
    <row r="49" spans="1:5" ht="195" hidden="1">
      <c r="A49" s="24" t="s">
        <v>108</v>
      </c>
      <c r="B49" s="29" t="str">
        <f>"AUTÓK!"&amp;ADDRESS(MATCH($B$41,AUTÓK!A2:A6,0)+1,2)&amp;":"&amp;ADDRESS(MATCH($B$41,AUTÓK!A2:A6,0)+COUNTIF(AUTÓK!A2:A6,$B$41),2)</f>
        <v>AUTÓK!$B$2:$B$2</v>
      </c>
      <c r="C49" s="30" t="s">
        <v>11</v>
      </c>
      <c r="D49" s="24"/>
      <c r="E49" s="24"/>
    </row>
    <row r="50" spans="1:5" ht="15" hidden="1">
      <c r="A50" s="24"/>
      <c r="B50" s="24"/>
      <c r="C50" s="24"/>
      <c r="D50" s="24"/>
      <c r="E50" s="24"/>
    </row>
    <row r="51" spans="1:5" ht="15" hidden="1">
      <c r="A51" s="24"/>
      <c r="B51" s="24"/>
      <c r="C51" s="24"/>
      <c r="D51" s="24"/>
      <c r="E51" s="24"/>
    </row>
    <row r="52" spans="1:5" ht="150" hidden="1">
      <c r="A52" s="24"/>
      <c r="B52" s="24"/>
      <c r="C52" s="31" t="s">
        <v>13</v>
      </c>
      <c r="D52" s="24"/>
      <c r="E52" s="24"/>
    </row>
    <row r="53" spans="1:5" ht="15" hidden="1">
      <c r="A53" s="24"/>
      <c r="B53" s="24"/>
      <c r="C53" s="24"/>
      <c r="D53" s="24"/>
      <c r="E53" s="24"/>
    </row>
    <row r="54" spans="1:5" ht="15" hidden="1">
      <c r="A54" s="24" t="s">
        <v>97</v>
      </c>
      <c r="B54" s="24" t="str">
        <f>"AUTÓK!"&amp;ADDRESS(MATCH($B$18,AUTÓK!C2:C5,0)+1,4)&amp;":"&amp;ADDRESS(MATCH($B$18,AUTÓK!C2:C5,0)+COUNTIF(AUTÓK!C2:C5,$B$18),4)</f>
        <v>AUTÓK!$D$2:$D$2</v>
      </c>
      <c r="C54" s="24"/>
      <c r="D54" s="24"/>
      <c r="E54" s="24" t="s">
        <v>156</v>
      </c>
    </row>
    <row r="55" spans="1:5" ht="15" hidden="1">
      <c r="A55" s="24" t="s">
        <v>92</v>
      </c>
      <c r="B55" s="24" t="str">
        <f>"AUTÓK!"&amp;ADDRESS(MATCH($B$41,AUTÓK!E2:E5,0)+1,6)&amp;":"&amp;ADDRESS(MATCH($B$41,AUTÓK!E2:E5,0)+COUNTIF(AUTÓK!E2:E5,$B$41),6)</f>
        <v>AUTÓK!$F$2:$F$2</v>
      </c>
      <c r="C55" s="24"/>
      <c r="D55" s="24"/>
      <c r="E55" s="24"/>
    </row>
    <row r="56" spans="1:5" ht="15" hidden="1">
      <c r="A56" s="24"/>
      <c r="B56" s="24"/>
      <c r="C56" s="24"/>
      <c r="D56" s="24"/>
      <c r="E56" s="24"/>
    </row>
    <row r="57" spans="1:5" ht="15" hidden="1">
      <c r="A57" s="24" t="s">
        <v>92</v>
      </c>
      <c r="B57" s="24" t="str">
        <f>+konszignacio!C19</f>
        <v> </v>
      </c>
      <c r="C57" s="24"/>
      <c r="D57" s="24"/>
      <c r="E57" s="24"/>
    </row>
    <row r="58" spans="1:5" ht="15" hidden="1">
      <c r="A58" s="24" t="s">
        <v>98</v>
      </c>
      <c r="B58" s="51" t="e">
        <f>"AUTÓK!"&amp;ADDRESS(MATCH($B$57,AUTÓK!G2:G6,0)+1,8)&amp;":"&amp;ADDRESS(MATCH($B$57,AUTÓK!G2:G6,0)+COUNTIF(AUTÓK!G2:G6,$B$57),8)</f>
        <v>#N/A</v>
      </c>
      <c r="C58" s="24"/>
      <c r="D58" s="24"/>
      <c r="E58" s="24"/>
    </row>
    <row r="59" spans="1:5" ht="15" hidden="1">
      <c r="A59" s="24"/>
      <c r="B59" s="24"/>
      <c r="C59" s="24"/>
      <c r="D59" s="24"/>
      <c r="E59" s="24"/>
    </row>
    <row r="60" spans="1:5" ht="15" hidden="1">
      <c r="A60" s="24" t="s">
        <v>60</v>
      </c>
      <c r="B60" s="24" t="str">
        <f>"AUTÓK!"&amp;ADDRESS(MATCH($D$7,AUTÓK!I2:I8,0)+1,10)&amp;":"&amp;ADDRESS(MATCH($D$7,AUTÓK!I2:I8,0)+COUNTIF(AUTÓK!I2:I8,$D$7),10)</f>
        <v>AUTÓK!$J$2:$J$2</v>
      </c>
      <c r="C60" s="24"/>
      <c r="D60" s="24"/>
      <c r="E60" s="24" t="s">
        <v>167</v>
      </c>
    </row>
    <row r="61" spans="1:5" ht="15" hidden="1">
      <c r="A61" s="24"/>
      <c r="B61" s="24">
        <f>+konszignacio!B17</f>
        <v>0</v>
      </c>
      <c r="C61" s="24"/>
      <c r="D61" s="24"/>
      <c r="E61" s="62" t="str">
        <f>+IF(+COUNTIF(C15,"&gt;=1"),"elektronikus"," ")</f>
        <v> </v>
      </c>
    </row>
    <row r="62" spans="1:5" ht="15" hidden="1">
      <c r="A62" s="24" t="s">
        <v>81</v>
      </c>
      <c r="B62" s="24" t="str">
        <f>"AUTÓK!"&amp;ADDRESS(MATCH(B61,AUTÓK!K2:K6,0)+1,12)&amp;":"&amp;ADDRESS(MATCH(B61,AUTÓK!K2:K6,0)+COUNTIF(AUTÓK!K2:K6,B61),12)</f>
        <v>AUTÓK!$L$5:$L$5</v>
      </c>
      <c r="C62" s="24"/>
      <c r="D62" s="24"/>
      <c r="E62" s="62" t="str">
        <f>+IF(+COUNTIF(C15,"&gt;=1"),"pneumatikus"," ")</f>
        <v> </v>
      </c>
    </row>
    <row r="63" spans="1:5" ht="15" hidden="1">
      <c r="A63" s="24" t="s">
        <v>113</v>
      </c>
      <c r="B63" s="24" t="str">
        <f>"AUTÓK!"&amp;ADDRESS(MATCH(B61,AUTÓK!K2:K6,0)+1,13)&amp;":"&amp;ADDRESS(MATCH(B61,AUTÓK!K2:K6,0)+COUNTIF(AUTÓK!K2:K6,B61),13)</f>
        <v>AUTÓK!$M$5:$M$5</v>
      </c>
      <c r="C63" s="24"/>
      <c r="D63" s="24"/>
      <c r="E63" s="24" t="s">
        <v>168</v>
      </c>
    </row>
    <row r="64" spans="1:5" ht="15" hidden="1">
      <c r="A64" s="24"/>
      <c r="B64" s="24"/>
      <c r="C64" s="24"/>
      <c r="D64" s="24"/>
      <c r="E64" s="62" t="str">
        <f>+IF(C19="elektronikus","robbanó gyutacs"," ")</f>
        <v> </v>
      </c>
    </row>
    <row r="65" spans="1:5" ht="15" hidden="1">
      <c r="A65" s="24" t="s">
        <v>154</v>
      </c>
      <c r="B65" s="24" t="str">
        <f>"AUTÓK!"&amp;ADDRESS(MATCH(B41,AUTÓK!N2:N6,0)+1,15)&amp;":"&amp;ADDRESS(MATCH(B41,AUTÓK!N2:N6,0)+COUNTIF(AUTÓK!N2:N6,B41),15)</f>
        <v>AUTÓK!$O$2:$O$2</v>
      </c>
      <c r="C65" s="24"/>
      <c r="D65" s="24"/>
      <c r="E65" s="62" t="str">
        <f>+IF(C19="elektronikus","elektromágnes"," ")</f>
        <v> </v>
      </c>
    </row>
    <row r="66" spans="1:5" ht="15" hidden="1">
      <c r="A66" s="24" t="s">
        <v>155</v>
      </c>
      <c r="B66" s="24" t="str">
        <f>"AUTÓK!"&amp;ADDRESS(MATCH(B41,AUTÓK!P2:P8,0)+1,17)&amp;":"&amp;ADDRESS(MATCH(B41,AUTÓK!P2:P8,0)+COUNTIF(AUTÓK!P2:P8,B41),17)</f>
        <v>AUTÓK!$Q$2:$Q$3</v>
      </c>
      <c r="C66" s="24"/>
      <c r="D66" s="24"/>
      <c r="E66" s="24"/>
    </row>
    <row r="67" ht="15" hidden="1">
      <c r="E67" t="s">
        <v>170</v>
      </c>
    </row>
    <row r="68" ht="15" hidden="1">
      <c r="E68" t="e">
        <f>+E7-(B15*E15)</f>
        <v>#VALUE!</v>
      </c>
    </row>
    <row r="69" ht="15" hidden="1"/>
    <row r="70" spans="1:7" ht="15" hidden="1">
      <c r="A70" s="27" t="s">
        <v>0</v>
      </c>
      <c r="B70" s="27" t="s">
        <v>1</v>
      </c>
      <c r="C70" s="27" t="s">
        <v>2</v>
      </c>
      <c r="D70" s="24"/>
      <c r="E70" s="24"/>
      <c r="F70" s="24"/>
      <c r="G70" s="24"/>
    </row>
    <row r="71" spans="1:7" ht="105" hidden="1">
      <c r="A71" s="32" t="s">
        <v>14</v>
      </c>
      <c r="B71" s="33" t="s">
        <v>18</v>
      </c>
      <c r="C71" s="34" t="s">
        <v>26</v>
      </c>
      <c r="D71" s="24"/>
      <c r="E71" s="24"/>
      <c r="F71" s="24"/>
      <c r="G71" s="24"/>
    </row>
    <row r="72" spans="1:7" ht="105" hidden="1">
      <c r="A72" s="36" t="s">
        <v>14</v>
      </c>
      <c r="B72" s="37" t="s">
        <v>19</v>
      </c>
      <c r="C72" s="34" t="s">
        <v>27</v>
      </c>
      <c r="D72" s="24"/>
      <c r="E72" s="24"/>
      <c r="F72" s="24"/>
      <c r="G72" s="24"/>
    </row>
    <row r="73" spans="1:7" ht="105" hidden="1">
      <c r="A73" s="32" t="s">
        <v>15</v>
      </c>
      <c r="B73" s="33" t="s">
        <v>20</v>
      </c>
      <c r="C73" s="34" t="s">
        <v>26</v>
      </c>
      <c r="D73" s="24"/>
      <c r="E73" s="24"/>
      <c r="F73" s="24"/>
      <c r="G73" s="24"/>
    </row>
    <row r="74" spans="1:7" ht="105" hidden="1">
      <c r="A74" s="36" t="s">
        <v>15</v>
      </c>
      <c r="B74" s="37" t="s">
        <v>21</v>
      </c>
      <c r="C74" s="34" t="s">
        <v>27</v>
      </c>
      <c r="D74" s="24"/>
      <c r="E74" s="24"/>
      <c r="F74" s="24"/>
      <c r="G74" s="24"/>
    </row>
    <row r="75" spans="1:7" ht="105" hidden="1">
      <c r="A75" s="32" t="s">
        <v>16</v>
      </c>
      <c r="B75" s="33" t="s">
        <v>20</v>
      </c>
      <c r="C75" s="34" t="s">
        <v>26</v>
      </c>
      <c r="D75" s="24"/>
      <c r="E75" s="24"/>
      <c r="F75" s="24"/>
      <c r="G75" s="24"/>
    </row>
    <row r="76" spans="1:7" ht="105" hidden="1">
      <c r="A76" s="36" t="s">
        <v>16</v>
      </c>
      <c r="B76" s="37" t="s">
        <v>21</v>
      </c>
      <c r="C76" s="34" t="s">
        <v>27</v>
      </c>
      <c r="D76" s="24"/>
      <c r="E76" s="24"/>
      <c r="F76" s="24"/>
      <c r="G76" s="24"/>
    </row>
    <row r="77" spans="1:7" ht="105" hidden="1">
      <c r="A77" s="32" t="s">
        <v>17</v>
      </c>
      <c r="B77" s="33" t="s">
        <v>20</v>
      </c>
      <c r="C77" s="34" t="s">
        <v>26</v>
      </c>
      <c r="D77" s="24"/>
      <c r="E77" s="24"/>
      <c r="F77" s="24"/>
      <c r="G77" s="24"/>
    </row>
    <row r="78" spans="1:7" ht="105" hidden="1">
      <c r="A78" s="39" t="s">
        <v>17</v>
      </c>
      <c r="B78" s="40" t="s">
        <v>21</v>
      </c>
      <c r="C78" s="34" t="s">
        <v>27</v>
      </c>
      <c r="D78" s="24"/>
      <c r="E78" s="24"/>
      <c r="F78" s="24"/>
      <c r="G78" s="24"/>
    </row>
    <row r="79" spans="1:7" ht="15" hidden="1">
      <c r="A79" s="24"/>
      <c r="B79" s="24"/>
      <c r="C79" s="24"/>
      <c r="D79" s="24"/>
      <c r="E79" s="24"/>
      <c r="F79" s="24"/>
      <c r="G79" s="24"/>
    </row>
    <row r="80" spans="1:7" ht="15" hidden="1">
      <c r="A80" s="24"/>
      <c r="B80" s="24"/>
      <c r="C80" s="24"/>
      <c r="D80" s="24"/>
      <c r="E80" s="24"/>
      <c r="F80" s="24"/>
      <c r="G80" s="24"/>
    </row>
    <row r="81" spans="1:7" ht="15" hidden="1">
      <c r="A81" s="24"/>
      <c r="B81" s="24"/>
      <c r="C81" s="24"/>
      <c r="D81" s="24"/>
      <c r="E81" s="24"/>
      <c r="F81" s="24"/>
      <c r="G81" s="24"/>
    </row>
    <row r="82" spans="1:7" ht="15" hidden="1">
      <c r="A82" s="24"/>
      <c r="B82" s="38"/>
      <c r="C82" s="24"/>
      <c r="D82" s="24"/>
      <c r="E82" s="24"/>
      <c r="F82" s="24"/>
      <c r="G82" s="24"/>
    </row>
    <row r="83" spans="1:7" ht="15" hidden="1">
      <c r="A83" s="24"/>
      <c r="B83" s="24"/>
      <c r="C83" s="24"/>
      <c r="D83" s="24"/>
      <c r="E83" s="24"/>
      <c r="F83" s="24"/>
      <c r="G83" s="24"/>
    </row>
    <row r="84" spans="1:7" ht="45" hidden="1">
      <c r="A84" s="41" t="s">
        <v>47</v>
      </c>
      <c r="B84" s="42" t="s">
        <v>48</v>
      </c>
      <c r="C84" s="42" t="s">
        <v>49</v>
      </c>
      <c r="D84" s="43" t="s">
        <v>50</v>
      </c>
      <c r="E84" s="42" t="s">
        <v>51</v>
      </c>
      <c r="F84" s="24" t="s">
        <v>140</v>
      </c>
      <c r="G84" s="24" t="s">
        <v>140</v>
      </c>
    </row>
    <row r="85" spans="1:7" ht="15" hidden="1">
      <c r="A85" s="50" t="s">
        <v>115</v>
      </c>
      <c r="B85" s="44">
        <v>1</v>
      </c>
      <c r="C85" s="44">
        <v>0.66</v>
      </c>
      <c r="D85" s="45">
        <v>0.66</v>
      </c>
      <c r="E85" s="44">
        <v>0.82</v>
      </c>
      <c r="F85" s="24" t="s">
        <v>140</v>
      </c>
      <c r="G85" s="24" t="s">
        <v>141</v>
      </c>
    </row>
    <row r="86" spans="1:7" ht="15" hidden="1">
      <c r="A86" s="50" t="s">
        <v>117</v>
      </c>
      <c r="B86" s="44">
        <v>1.2</v>
      </c>
      <c r="C86" s="44">
        <v>0.64</v>
      </c>
      <c r="D86" s="45">
        <v>0.768</v>
      </c>
      <c r="E86" s="44">
        <v>0.82</v>
      </c>
      <c r="F86" s="24" t="s">
        <v>140</v>
      </c>
      <c r="G86" s="24" t="s">
        <v>142</v>
      </c>
    </row>
    <row r="87" spans="1:7" ht="15" hidden="1">
      <c r="A87" s="50" t="s">
        <v>118</v>
      </c>
      <c r="B87" s="44">
        <v>1.5</v>
      </c>
      <c r="C87" s="44">
        <v>0.63</v>
      </c>
      <c r="D87" s="45">
        <v>0.9450000000000001</v>
      </c>
      <c r="E87" s="44">
        <v>0.82</v>
      </c>
      <c r="F87" s="24" t="s">
        <v>140</v>
      </c>
      <c r="G87" s="24" t="s">
        <v>143</v>
      </c>
    </row>
    <row r="88" spans="1:7" ht="15" hidden="1">
      <c r="A88" s="50" t="s">
        <v>119</v>
      </c>
      <c r="B88" s="44">
        <v>1.8</v>
      </c>
      <c r="C88" s="44">
        <v>0.64</v>
      </c>
      <c r="D88" s="45">
        <v>1.1520000000000001</v>
      </c>
      <c r="E88" s="44">
        <v>0.82</v>
      </c>
      <c r="F88" s="24" t="s">
        <v>140</v>
      </c>
      <c r="G88" s="24" t="s">
        <v>144</v>
      </c>
    </row>
    <row r="89" spans="1:7" ht="15" hidden="1">
      <c r="A89" s="50" t="s">
        <v>120</v>
      </c>
      <c r="B89" s="44">
        <v>2</v>
      </c>
      <c r="C89" s="44">
        <v>0.64</v>
      </c>
      <c r="D89" s="45">
        <v>1.28</v>
      </c>
      <c r="E89" s="44">
        <v>0.82</v>
      </c>
      <c r="F89" s="24" t="s">
        <v>140</v>
      </c>
      <c r="G89" s="24" t="s">
        <v>145</v>
      </c>
    </row>
    <row r="90" spans="1:7" ht="15" hidden="1">
      <c r="A90" s="50" t="s">
        <v>121</v>
      </c>
      <c r="B90" s="44">
        <v>2.4</v>
      </c>
      <c r="C90" s="44">
        <v>0.65</v>
      </c>
      <c r="D90" s="45">
        <v>1.56</v>
      </c>
      <c r="E90" s="44" t="s">
        <v>52</v>
      </c>
      <c r="F90" s="24" t="s">
        <v>140</v>
      </c>
      <c r="G90" s="24" t="s">
        <v>146</v>
      </c>
    </row>
    <row r="91" spans="1:7" ht="15" hidden="1">
      <c r="A91" s="50" t="s">
        <v>122</v>
      </c>
      <c r="B91" s="44">
        <v>2.5</v>
      </c>
      <c r="C91" s="44">
        <v>0.66</v>
      </c>
      <c r="D91" s="45">
        <v>1.6500000000000001</v>
      </c>
      <c r="E91" s="44">
        <v>0.83</v>
      </c>
      <c r="F91" s="24" t="s">
        <v>141</v>
      </c>
      <c r="G91" s="24" t="s">
        <v>141</v>
      </c>
    </row>
    <row r="92" spans="1:7" ht="15" hidden="1">
      <c r="A92" s="50" t="s">
        <v>116</v>
      </c>
      <c r="B92" s="44">
        <v>1.44</v>
      </c>
      <c r="C92" s="44">
        <v>0.66</v>
      </c>
      <c r="D92" s="45">
        <v>0.9504</v>
      </c>
      <c r="E92" s="44">
        <v>0.82</v>
      </c>
      <c r="F92" s="24" t="s">
        <v>141</v>
      </c>
      <c r="G92" s="24" t="s">
        <v>147</v>
      </c>
    </row>
    <row r="93" spans="1:7" ht="15" hidden="1">
      <c r="A93" s="50" t="s">
        <v>123</v>
      </c>
      <c r="B93" s="44">
        <v>1.68</v>
      </c>
      <c r="C93" s="44">
        <v>0.64</v>
      </c>
      <c r="D93" s="45">
        <v>1.0752</v>
      </c>
      <c r="E93" s="44" t="s">
        <v>52</v>
      </c>
      <c r="F93" s="24" t="s">
        <v>141</v>
      </c>
      <c r="G93" s="24" t="s">
        <v>142</v>
      </c>
    </row>
    <row r="94" spans="1:7" ht="15" hidden="1">
      <c r="A94" s="50" t="s">
        <v>124</v>
      </c>
      <c r="B94" s="44">
        <v>1.8</v>
      </c>
      <c r="C94" s="44">
        <v>0.6</v>
      </c>
      <c r="D94" s="45">
        <v>1.08</v>
      </c>
      <c r="E94" s="44">
        <v>0.82</v>
      </c>
      <c r="F94" s="24" t="s">
        <v>141</v>
      </c>
      <c r="G94" s="24" t="s">
        <v>143</v>
      </c>
    </row>
    <row r="95" spans="1:7" ht="15" hidden="1">
      <c r="A95" s="50" t="s">
        <v>125</v>
      </c>
      <c r="B95" s="44">
        <v>2.16</v>
      </c>
      <c r="C95" s="44">
        <v>0.62</v>
      </c>
      <c r="D95" s="45">
        <v>1.3392000000000002</v>
      </c>
      <c r="E95" s="44">
        <v>0.83</v>
      </c>
      <c r="F95" s="24" t="s">
        <v>141</v>
      </c>
      <c r="G95" s="24" t="s">
        <v>144</v>
      </c>
    </row>
    <row r="96" spans="1:7" ht="15" hidden="1">
      <c r="A96" s="50" t="s">
        <v>126</v>
      </c>
      <c r="B96" s="44">
        <v>2.4</v>
      </c>
      <c r="C96" s="44">
        <v>0.63</v>
      </c>
      <c r="D96" s="45">
        <v>1.512</v>
      </c>
      <c r="E96" s="44">
        <v>0.83</v>
      </c>
      <c r="F96" s="24" t="s">
        <v>141</v>
      </c>
      <c r="G96" s="24" t="s">
        <v>145</v>
      </c>
    </row>
    <row r="97" spans="1:7" ht="15" hidden="1">
      <c r="A97" s="50" t="s">
        <v>127</v>
      </c>
      <c r="B97" s="44">
        <v>2.88</v>
      </c>
      <c r="C97" s="44">
        <v>0.64</v>
      </c>
      <c r="D97" s="45">
        <v>1.8432</v>
      </c>
      <c r="E97" s="44">
        <v>0.83</v>
      </c>
      <c r="F97" s="24" t="s">
        <v>141</v>
      </c>
      <c r="G97" s="24" t="s">
        <v>146</v>
      </c>
    </row>
    <row r="98" spans="1:7" ht="15" hidden="1">
      <c r="A98" s="50" t="s">
        <v>128</v>
      </c>
      <c r="B98" s="44">
        <v>3</v>
      </c>
      <c r="C98" s="44">
        <v>0.65</v>
      </c>
      <c r="D98" s="45">
        <v>1.9500000000000002</v>
      </c>
      <c r="E98" s="44">
        <v>0.83</v>
      </c>
      <c r="F98" s="24" t="s">
        <v>142</v>
      </c>
      <c r="G98" s="24" t="s">
        <v>142</v>
      </c>
    </row>
    <row r="99" spans="1:7" ht="15" hidden="1">
      <c r="A99" s="50" t="s">
        <v>129</v>
      </c>
      <c r="B99" s="44">
        <v>2.25</v>
      </c>
      <c r="C99" s="44">
        <v>0.68</v>
      </c>
      <c r="D99" s="45">
        <v>1.53</v>
      </c>
      <c r="E99" s="44">
        <v>0.83</v>
      </c>
      <c r="F99" s="24" t="s">
        <v>142</v>
      </c>
      <c r="G99" s="24" t="s">
        <v>143</v>
      </c>
    </row>
    <row r="100" spans="1:7" ht="15" hidden="1">
      <c r="A100" s="50" t="s">
        <v>130</v>
      </c>
      <c r="B100" s="44">
        <v>2.7</v>
      </c>
      <c r="C100" s="44">
        <v>0.6</v>
      </c>
      <c r="D100" s="45">
        <v>1.62</v>
      </c>
      <c r="E100" s="44">
        <v>0.83</v>
      </c>
      <c r="F100" s="24" t="s">
        <v>142</v>
      </c>
      <c r="G100" s="24" t="s">
        <v>148</v>
      </c>
    </row>
    <row r="101" spans="1:7" ht="15" hidden="1">
      <c r="A101" s="50" t="s">
        <v>131</v>
      </c>
      <c r="B101" s="44">
        <v>3.15</v>
      </c>
      <c r="C101" s="44">
        <v>0.62</v>
      </c>
      <c r="D101" s="45">
        <v>1.9529999999999998</v>
      </c>
      <c r="E101" s="44">
        <v>0.83</v>
      </c>
      <c r="F101" s="24" t="s">
        <v>142</v>
      </c>
      <c r="G101" s="24" t="s">
        <v>145</v>
      </c>
    </row>
    <row r="102" spans="1:7" ht="15" hidden="1">
      <c r="A102" s="50" t="s">
        <v>132</v>
      </c>
      <c r="B102" s="44">
        <v>3.6</v>
      </c>
      <c r="C102" s="44">
        <v>0.63</v>
      </c>
      <c r="D102" s="45">
        <v>2.2680000000000002</v>
      </c>
      <c r="E102" s="44" t="s">
        <v>52</v>
      </c>
      <c r="F102" s="24" t="s">
        <v>142</v>
      </c>
      <c r="G102" s="24" t="s">
        <v>146</v>
      </c>
    </row>
    <row r="103" spans="1:7" ht="15" hidden="1">
      <c r="A103" s="50" t="s">
        <v>133</v>
      </c>
      <c r="B103" s="44">
        <v>3.75</v>
      </c>
      <c r="C103" s="44">
        <v>0.63</v>
      </c>
      <c r="D103" s="45">
        <v>2.3625</v>
      </c>
      <c r="E103" s="44">
        <v>0.83</v>
      </c>
      <c r="F103" s="24" t="s">
        <v>143</v>
      </c>
      <c r="G103" s="24" t="s">
        <v>143</v>
      </c>
    </row>
    <row r="104" spans="1:7" ht="15" hidden="1">
      <c r="A104" s="50" t="s">
        <v>134</v>
      </c>
      <c r="B104" s="44">
        <v>3.24</v>
      </c>
      <c r="C104" s="44">
        <v>0.67</v>
      </c>
      <c r="D104" s="45">
        <v>2.1708000000000003</v>
      </c>
      <c r="E104" s="44">
        <v>0.83</v>
      </c>
      <c r="F104" s="24" t="s">
        <v>143</v>
      </c>
      <c r="G104" s="24" t="s">
        <v>144</v>
      </c>
    </row>
    <row r="105" spans="1:7" ht="15" hidden="1">
      <c r="A105" s="50" t="s">
        <v>135</v>
      </c>
      <c r="B105" s="44">
        <v>3.6</v>
      </c>
      <c r="C105" s="44">
        <v>0.66</v>
      </c>
      <c r="D105" s="45">
        <v>2.3760000000000003</v>
      </c>
      <c r="E105" s="44">
        <v>0.83</v>
      </c>
      <c r="F105" s="24" t="s">
        <v>143</v>
      </c>
      <c r="G105" s="24" t="s">
        <v>148</v>
      </c>
    </row>
    <row r="106" spans="1:7" ht="15" hidden="1">
      <c r="A106" s="50" t="s">
        <v>136</v>
      </c>
      <c r="B106" s="44">
        <v>3.78</v>
      </c>
      <c r="C106" s="44">
        <v>0.65</v>
      </c>
      <c r="D106" s="45">
        <v>2.457</v>
      </c>
      <c r="E106" s="44">
        <v>0.83</v>
      </c>
      <c r="F106" s="24" t="s">
        <v>143</v>
      </c>
      <c r="G106" s="24" t="s">
        <v>145</v>
      </c>
    </row>
    <row r="107" spans="1:7" ht="15" hidden="1">
      <c r="A107" s="50" t="s">
        <v>137</v>
      </c>
      <c r="B107" s="44">
        <v>4.32</v>
      </c>
      <c r="C107" s="44">
        <v>0.63</v>
      </c>
      <c r="D107" s="45">
        <v>2.7216</v>
      </c>
      <c r="E107" s="44">
        <v>0.83</v>
      </c>
      <c r="F107" s="24" t="s">
        <v>143</v>
      </c>
      <c r="G107" s="24" t="s">
        <v>146</v>
      </c>
    </row>
    <row r="108" spans="1:7" ht="15" hidden="1">
      <c r="A108" s="50" t="s">
        <v>138</v>
      </c>
      <c r="B108" s="44">
        <v>4.5</v>
      </c>
      <c r="C108" s="44">
        <v>0.62</v>
      </c>
      <c r="D108" s="45">
        <v>2.79</v>
      </c>
      <c r="E108" s="44">
        <v>0.83</v>
      </c>
      <c r="F108" s="24"/>
      <c r="G108" s="24"/>
    </row>
    <row r="109" spans="1:7" ht="15" hidden="1">
      <c r="A109" s="46" t="s">
        <v>53</v>
      </c>
      <c r="B109" s="46" t="s">
        <v>53</v>
      </c>
      <c r="C109" s="46" t="s">
        <v>53</v>
      </c>
      <c r="D109" s="46" t="s">
        <v>53</v>
      </c>
      <c r="E109" s="46" t="s">
        <v>53</v>
      </c>
      <c r="F109" s="24"/>
      <c r="G109" s="24"/>
    </row>
    <row r="110" spans="1:7" ht="15" hidden="1">
      <c r="A110" s="24"/>
      <c r="B110" s="24"/>
      <c r="C110" s="24"/>
      <c r="D110" s="24"/>
      <c r="E110" s="24"/>
      <c r="F110" s="24"/>
      <c r="G110" s="24"/>
    </row>
    <row r="111" spans="1:7" ht="15" hidden="1">
      <c r="A111" s="24"/>
      <c r="B111" s="24"/>
      <c r="C111" s="24"/>
      <c r="D111" s="24"/>
      <c r="E111" s="24"/>
      <c r="F111" s="24"/>
      <c r="G111" s="24"/>
    </row>
    <row r="112" spans="1:7" ht="15" hidden="1">
      <c r="A112" s="47" t="s">
        <v>54</v>
      </c>
      <c r="B112" s="24"/>
      <c r="C112" s="24"/>
      <c r="D112" s="24"/>
      <c r="E112" s="24"/>
      <c r="F112" s="24"/>
      <c r="G112" s="24"/>
    </row>
    <row r="113" spans="1:7" ht="15" hidden="1">
      <c r="A113" s="24" t="s">
        <v>55</v>
      </c>
      <c r="B113" s="24" t="s">
        <v>36</v>
      </c>
      <c r="C113" s="24"/>
      <c r="D113" s="24"/>
      <c r="E113" s="24"/>
      <c r="F113" s="24" t="s">
        <v>139</v>
      </c>
      <c r="G113" s="24"/>
    </row>
    <row r="114" spans="1:7" ht="15" hidden="1">
      <c r="A114" s="24" t="s">
        <v>35</v>
      </c>
      <c r="B114" s="24" t="s">
        <v>56</v>
      </c>
      <c r="C114" s="24"/>
      <c r="D114" s="24"/>
      <c r="E114" s="24"/>
      <c r="F114" s="24" t="e">
        <f>VLOOKUP(konszignacio!$D$7,konszignacio!$F$84:$G$108,2,0)</f>
        <v>#N/A</v>
      </c>
      <c r="G114" s="24"/>
    </row>
    <row r="115" spans="1:7" ht="15" hidden="1">
      <c r="A115" s="24" t="s">
        <v>53</v>
      </c>
      <c r="B115" s="24" t="s">
        <v>57</v>
      </c>
      <c r="C115" s="24"/>
      <c r="D115" s="24"/>
      <c r="E115" s="24"/>
      <c r="F115" s="24"/>
      <c r="G115" s="24"/>
    </row>
    <row r="116" spans="1:7" ht="15" hidden="1">
      <c r="A116" s="24"/>
      <c r="B116" s="24"/>
      <c r="C116" s="24"/>
      <c r="D116" s="24"/>
      <c r="E116" s="24"/>
      <c r="F116" s="24"/>
      <c r="G116" s="24"/>
    </row>
    <row r="117" spans="1:7" ht="15" hidden="1">
      <c r="A117" s="24" t="s">
        <v>37</v>
      </c>
      <c r="B117" s="24" t="s">
        <v>58</v>
      </c>
      <c r="C117" s="24" t="s">
        <v>59</v>
      </c>
      <c r="D117" s="24" t="s">
        <v>60</v>
      </c>
      <c r="E117" s="24"/>
      <c r="F117" s="24"/>
      <c r="G117" s="24"/>
    </row>
    <row r="118" spans="1:7" ht="15" hidden="1">
      <c r="A118" s="24" t="s">
        <v>39</v>
      </c>
      <c r="B118" s="24" t="s">
        <v>40</v>
      </c>
      <c r="C118" s="24" t="s">
        <v>61</v>
      </c>
      <c r="D118" s="24" t="s">
        <v>41</v>
      </c>
      <c r="E118" s="24"/>
      <c r="F118" s="24"/>
      <c r="G118" s="24"/>
    </row>
    <row r="119" spans="1:7" ht="15" hidden="1">
      <c r="A119" s="24" t="s">
        <v>62</v>
      </c>
      <c r="B119" s="24" t="s">
        <v>63</v>
      </c>
      <c r="C119" s="24" t="s">
        <v>42</v>
      </c>
      <c r="D119" s="24" t="s">
        <v>53</v>
      </c>
      <c r="E119" s="24"/>
      <c r="F119" s="24"/>
      <c r="G119" s="24"/>
    </row>
    <row r="120" spans="1:7" ht="15" hidden="1">
      <c r="A120" s="24" t="s">
        <v>53</v>
      </c>
      <c r="B120" s="24"/>
      <c r="C120" s="24"/>
      <c r="D120" s="24"/>
      <c r="E120" s="24"/>
      <c r="F120" s="24"/>
      <c r="G120" s="24"/>
    </row>
    <row r="121" spans="1:7" ht="15" hidden="1">
      <c r="A121" s="24"/>
      <c r="B121" s="24"/>
      <c r="C121" s="24"/>
      <c r="D121" s="24"/>
      <c r="E121" s="24"/>
      <c r="F121" s="24"/>
      <c r="G121" s="24"/>
    </row>
    <row r="122" spans="1:7" ht="17.25" hidden="1">
      <c r="A122" s="24" t="s">
        <v>159</v>
      </c>
      <c r="B122" s="24" t="s">
        <v>160</v>
      </c>
      <c r="C122" s="24"/>
      <c r="D122" s="24"/>
      <c r="E122" s="24"/>
      <c r="F122" s="24"/>
      <c r="G122" s="24"/>
    </row>
    <row r="123" spans="1:7" ht="17.25" hidden="1">
      <c r="A123" s="24" t="s">
        <v>55</v>
      </c>
      <c r="B123" s="24" t="s">
        <v>64</v>
      </c>
      <c r="C123" s="24"/>
      <c r="D123" s="24"/>
      <c r="E123" s="24"/>
      <c r="F123" s="24"/>
      <c r="G123" s="24"/>
    </row>
    <row r="124" spans="1:7" ht="17.25" hidden="1">
      <c r="A124" s="24" t="s">
        <v>35</v>
      </c>
      <c r="B124" s="24" t="s">
        <v>65</v>
      </c>
      <c r="C124" s="24"/>
      <c r="D124" s="24"/>
      <c r="E124" s="24"/>
      <c r="F124" s="24"/>
      <c r="G124" s="24"/>
    </row>
    <row r="125" spans="1:7" ht="15" hidden="1">
      <c r="A125" s="24" t="s">
        <v>53</v>
      </c>
      <c r="B125" s="24" t="s">
        <v>53</v>
      </c>
      <c r="C125" s="24"/>
      <c r="D125" s="24"/>
      <c r="E125" s="24"/>
      <c r="F125" s="24"/>
      <c r="G125" s="24"/>
    </row>
    <row r="126" spans="1:7" ht="15" hidden="1">
      <c r="A126" s="24"/>
      <c r="B126" s="24"/>
      <c r="C126" s="24"/>
      <c r="D126" s="24"/>
      <c r="E126" s="24"/>
      <c r="F126" s="24"/>
      <c r="G126" s="24"/>
    </row>
    <row r="127" spans="1:7" ht="15" hidden="1">
      <c r="A127" s="24" t="s">
        <v>66</v>
      </c>
      <c r="B127" s="24"/>
      <c r="C127" s="24"/>
      <c r="D127" s="24"/>
      <c r="E127" s="24"/>
      <c r="F127" s="24"/>
      <c r="G127" s="24"/>
    </row>
    <row r="128" spans="1:7" ht="15" hidden="1">
      <c r="A128" s="24" t="s">
        <v>45</v>
      </c>
      <c r="B128" s="24"/>
      <c r="C128" s="24"/>
      <c r="D128" s="24"/>
      <c r="E128" s="24"/>
      <c r="F128" s="24"/>
      <c r="G128" s="24"/>
    </row>
    <row r="129" spans="1:7" ht="15" hidden="1">
      <c r="A129" s="24"/>
      <c r="B129" s="24"/>
      <c r="C129" s="24"/>
      <c r="D129" s="24"/>
      <c r="E129" s="24"/>
      <c r="F129" s="24"/>
      <c r="G129" s="24"/>
    </row>
    <row r="130" spans="1:7" ht="15" hidden="1">
      <c r="A130" s="48" t="s">
        <v>67</v>
      </c>
      <c r="B130" s="48" t="s">
        <v>85</v>
      </c>
      <c r="C130" s="48" t="s">
        <v>68</v>
      </c>
      <c r="D130" s="24"/>
      <c r="E130" s="24"/>
      <c r="F130" s="24"/>
      <c r="G130" s="24"/>
    </row>
    <row r="131" spans="1:7" ht="15" hidden="1">
      <c r="A131" s="24" t="s">
        <v>14</v>
      </c>
      <c r="B131" s="24" t="s">
        <v>45</v>
      </c>
      <c r="C131" s="24" t="s">
        <v>45</v>
      </c>
      <c r="D131" s="24"/>
      <c r="E131" s="24"/>
      <c r="F131" s="24"/>
      <c r="G131" s="24"/>
    </row>
    <row r="132" spans="1:7" ht="15" hidden="1">
      <c r="A132" s="24" t="s">
        <v>15</v>
      </c>
      <c r="B132" s="24" t="s">
        <v>82</v>
      </c>
      <c r="C132" s="24" t="s">
        <v>87</v>
      </c>
      <c r="D132" s="24"/>
      <c r="E132" s="24"/>
      <c r="F132" s="24"/>
      <c r="G132" s="24"/>
    </row>
    <row r="133" spans="1:7" ht="15" hidden="1">
      <c r="A133" s="24" t="s">
        <v>15</v>
      </c>
      <c r="B133" s="24" t="s">
        <v>83</v>
      </c>
      <c r="C133" s="24" t="s">
        <v>88</v>
      </c>
      <c r="D133" s="24"/>
      <c r="E133" s="24"/>
      <c r="F133" s="24"/>
      <c r="G133" s="24"/>
    </row>
    <row r="134" spans="1:7" ht="15" hidden="1">
      <c r="A134" s="24" t="s">
        <v>15</v>
      </c>
      <c r="B134" s="24" t="s">
        <v>84</v>
      </c>
      <c r="C134" s="24"/>
      <c r="D134" s="24"/>
      <c r="E134" s="24"/>
      <c r="F134" s="24"/>
      <c r="G134" s="24"/>
    </row>
    <row r="135" spans="1:7" ht="15" hidden="1">
      <c r="A135" s="24" t="s">
        <v>16</v>
      </c>
      <c r="B135" s="24" t="s">
        <v>45</v>
      </c>
      <c r="C135" s="24" t="s">
        <v>45</v>
      </c>
      <c r="D135" s="24"/>
      <c r="E135" s="24"/>
      <c r="F135" s="24"/>
      <c r="G135" s="24"/>
    </row>
    <row r="136" spans="1:7" ht="15" hidden="1">
      <c r="A136" s="24" t="s">
        <v>17</v>
      </c>
      <c r="B136" s="24" t="s">
        <v>45</v>
      </c>
      <c r="C136" s="24" t="s">
        <v>45</v>
      </c>
      <c r="D136" s="24"/>
      <c r="E136" s="24"/>
      <c r="F136" s="24"/>
      <c r="G136" s="24"/>
    </row>
    <row r="137" spans="1:7" ht="15" hidden="1">
      <c r="A137" s="24"/>
      <c r="B137" s="24"/>
      <c r="C137" s="24" t="s">
        <v>45</v>
      </c>
      <c r="D137" s="24"/>
      <c r="E137" s="24"/>
      <c r="F137" s="24"/>
      <c r="G137" s="24"/>
    </row>
    <row r="138" spans="1:7" ht="15" hidden="1">
      <c r="A138" s="24"/>
      <c r="B138" s="24"/>
      <c r="C138" s="24"/>
      <c r="D138" s="24"/>
      <c r="E138" s="24"/>
      <c r="F138" s="24"/>
      <c r="G138" s="24"/>
    </row>
    <row r="139" spans="1:7" ht="15" hidden="1">
      <c r="A139" s="24" t="s">
        <v>81</v>
      </c>
      <c r="B139" s="24"/>
      <c r="C139" s="24"/>
      <c r="D139" s="24"/>
      <c r="E139" s="24"/>
      <c r="F139" s="24"/>
      <c r="G139" s="24"/>
    </row>
    <row r="140" spans="1:7" ht="15" hidden="1">
      <c r="A140" s="24" t="s">
        <v>39</v>
      </c>
      <c r="B140" s="24"/>
      <c r="C140" s="24"/>
      <c r="D140" s="24"/>
      <c r="E140" s="24"/>
      <c r="F140" s="24"/>
      <c r="G140" s="24"/>
    </row>
    <row r="141" spans="1:7" ht="15" hidden="1">
      <c r="A141" s="24" t="s">
        <v>62</v>
      </c>
      <c r="B141" s="24"/>
      <c r="C141" s="24"/>
      <c r="D141" s="24"/>
      <c r="E141" s="24"/>
      <c r="F141" s="24"/>
      <c r="G141" s="24"/>
    </row>
    <row r="142" spans="1:7" ht="15" hidden="1">
      <c r="A142" s="24"/>
      <c r="B142" s="24"/>
      <c r="C142" s="24"/>
      <c r="D142" s="24"/>
      <c r="E142" s="24"/>
      <c r="F142" s="24"/>
      <c r="G142" s="24"/>
    </row>
    <row r="143" spans="1:7" ht="15" hidden="1">
      <c r="A143" s="24" t="s">
        <v>82</v>
      </c>
      <c r="B143" s="24"/>
      <c r="C143" s="24"/>
      <c r="D143" s="24"/>
      <c r="E143" s="24"/>
      <c r="F143" s="24"/>
      <c r="G143" s="24"/>
    </row>
    <row r="144" spans="1:7" ht="15" hidden="1">
      <c r="A144" s="24" t="s">
        <v>83</v>
      </c>
      <c r="B144" s="24"/>
      <c r="C144" s="24"/>
      <c r="D144" s="24"/>
      <c r="E144" s="24"/>
      <c r="F144" s="24"/>
      <c r="G144" s="24"/>
    </row>
    <row r="145" spans="1:7" ht="15" hidden="1">
      <c r="A145" s="24" t="s">
        <v>84</v>
      </c>
      <c r="B145" s="24"/>
      <c r="C145" s="24"/>
      <c r="D145" s="24"/>
      <c r="E145" s="24"/>
      <c r="F145" s="24"/>
      <c r="G145" s="24"/>
    </row>
    <row r="146" spans="1:7" ht="15" hidden="1">
      <c r="A146" s="24"/>
      <c r="B146" s="24"/>
      <c r="C146" s="24"/>
      <c r="D146" s="24"/>
      <c r="E146" s="24"/>
      <c r="F146" s="24"/>
      <c r="G146" s="24"/>
    </row>
    <row r="147" spans="1:7" ht="15" hidden="1">
      <c r="A147" s="24" t="s">
        <v>87</v>
      </c>
      <c r="B147" s="24"/>
      <c r="C147" s="24"/>
      <c r="D147" s="24"/>
      <c r="E147" s="24"/>
      <c r="F147" s="24"/>
      <c r="G147" s="24"/>
    </row>
    <row r="148" spans="1:7" ht="15" hidden="1">
      <c r="A148" s="24" t="s">
        <v>88</v>
      </c>
      <c r="B148" s="24"/>
      <c r="C148" s="24"/>
      <c r="D148" s="24"/>
      <c r="E148" s="24"/>
      <c r="F148" s="24"/>
      <c r="G148" s="24"/>
    </row>
    <row r="149" spans="1:7" ht="15" hidden="1">
      <c r="A149" s="24"/>
      <c r="B149" s="24"/>
      <c r="C149" s="24"/>
      <c r="D149" s="24"/>
      <c r="E149" s="24"/>
      <c r="F149" s="24"/>
      <c r="G149" s="24"/>
    </row>
    <row r="150" spans="1:7" ht="15" hidden="1">
      <c r="A150" s="24"/>
      <c r="B150" s="24"/>
      <c r="C150" s="24"/>
      <c r="D150" s="24"/>
      <c r="E150" s="24"/>
      <c r="F150" s="24"/>
      <c r="G150" s="24"/>
    </row>
    <row r="151" spans="1:7" ht="45" hidden="1">
      <c r="A151" s="60" t="s">
        <v>166</v>
      </c>
      <c r="B151" s="24"/>
      <c r="C151" s="24"/>
      <c r="D151" s="24"/>
      <c r="E151" s="24"/>
      <c r="F151" s="24"/>
      <c r="G151" s="24"/>
    </row>
    <row r="152" spans="1:7" ht="60" hidden="1">
      <c r="A152" s="60" t="s">
        <v>165</v>
      </c>
      <c r="B152" s="24"/>
      <c r="C152" s="24"/>
      <c r="D152" s="24"/>
      <c r="E152" s="24"/>
      <c r="F152" s="24"/>
      <c r="G152" s="24"/>
    </row>
    <row r="153" spans="1:7" ht="62.25" customHeight="1" hidden="1">
      <c r="A153" s="60" t="s">
        <v>165</v>
      </c>
      <c r="B153" s="24"/>
      <c r="C153" s="24"/>
      <c r="D153" s="24"/>
      <c r="E153" s="24"/>
      <c r="F153" s="24"/>
      <c r="G153" s="24"/>
    </row>
    <row r="154" spans="1:7" ht="15" hidden="1">
      <c r="A154" s="49"/>
      <c r="B154" s="24"/>
      <c r="C154" s="24"/>
      <c r="D154" s="24"/>
      <c r="E154" s="24"/>
      <c r="F154" s="24"/>
      <c r="G154" s="24"/>
    </row>
  </sheetData>
  <sheetProtection password="A1D6" sheet="1" objects="1" scenarios="1" selectLockedCells="1"/>
  <mergeCells count="24">
    <mergeCell ref="D16:E16"/>
    <mergeCell ref="D17:E17"/>
    <mergeCell ref="B23:C23"/>
    <mergeCell ref="A20:A23"/>
    <mergeCell ref="A18:A19"/>
    <mergeCell ref="B20:C20"/>
    <mergeCell ref="B21:C21"/>
    <mergeCell ref="B22:C22"/>
    <mergeCell ref="A9:A10"/>
    <mergeCell ref="C13:E13"/>
    <mergeCell ref="A11:A13"/>
    <mergeCell ref="A14:A15"/>
    <mergeCell ref="B6:C6"/>
    <mergeCell ref="B7:C7"/>
    <mergeCell ref="A24:A35"/>
    <mergeCell ref="C1:D1"/>
    <mergeCell ref="B5:E5"/>
    <mergeCell ref="B4:C4"/>
    <mergeCell ref="A2:A3"/>
    <mergeCell ref="B3:E3"/>
    <mergeCell ref="B2:E2"/>
    <mergeCell ref="A6:A8"/>
    <mergeCell ref="C8:E8"/>
    <mergeCell ref="A16:A17"/>
  </mergeCells>
  <conditionalFormatting sqref="E10">
    <cfRule type="expression" priority="1" dxfId="0">
      <formula>$E$9="Egyedi igény:"</formula>
    </cfRule>
  </conditionalFormatting>
  <conditionalFormatting sqref="C8:E8">
    <cfRule type="expression" priority="32" dxfId="0">
      <formula>$B$8="Egyedi igény:"</formula>
    </cfRule>
  </conditionalFormatting>
  <conditionalFormatting sqref="C17:D17">
    <cfRule type="expression" priority="29" dxfId="1">
      <formula>$B$17="van"</formula>
    </cfRule>
  </conditionalFormatting>
  <conditionalFormatting sqref="E7 D12">
    <cfRule type="expression" priority="27" dxfId="1">
      <formula>$E$6="Légterelő lemez"</formula>
    </cfRule>
  </conditionalFormatting>
  <conditionalFormatting sqref="C13:E13">
    <cfRule type="expression" priority="26" dxfId="0">
      <formula>$B$13="Egyedi igény:"</formula>
    </cfRule>
  </conditionalFormatting>
  <conditionalFormatting sqref="B16:D17">
    <cfRule type="expression" priority="17" dxfId="3">
      <formula>$B$5="Egyedi kivitelű donga sávfelülvilágító"</formula>
    </cfRule>
  </conditionalFormatting>
  <conditionalFormatting sqref="D7">
    <cfRule type="expression" priority="13" dxfId="1">
      <formula>$E$6="Légterelő lemez"</formula>
    </cfRule>
  </conditionalFormatting>
  <conditionalFormatting sqref="B18:E19">
    <cfRule type="expression" priority="8" dxfId="3">
      <formula>OR($B$5="Egyedi kivitelű donga sávfelülvilágító",$C$15=0)</formula>
    </cfRule>
  </conditionalFormatting>
  <conditionalFormatting sqref="B15">
    <cfRule type="expression" priority="7" dxfId="0">
      <formula>$B$14="Összes darabszám"</formula>
    </cfRule>
  </conditionalFormatting>
  <conditionalFormatting sqref="B14:E15">
    <cfRule type="expression" priority="5" dxfId="3">
      <formula>$B$5="Egyedi kivitelű donga sávfelülvilágító"</formula>
    </cfRule>
  </conditionalFormatting>
  <conditionalFormatting sqref="C15">
    <cfRule type="expression" priority="4" dxfId="0">
      <formula>$C$14="RWA nyílószárnyak darabszáma"</formula>
    </cfRule>
  </conditionalFormatting>
  <conditionalFormatting sqref="D15">
    <cfRule type="expression" priority="3" dxfId="1">
      <formula>$D$14="Szélesség"</formula>
    </cfRule>
  </conditionalFormatting>
  <conditionalFormatting sqref="E15">
    <cfRule type="expression" priority="2" dxfId="0">
      <formula>$E$14="Hosszúság"</formula>
    </cfRule>
  </conditionalFormatting>
  <dataValidations count="24">
    <dataValidation type="list" allowBlank="1" showInputMessage="1" showErrorMessage="1" sqref="D23">
      <formula1>"Nem, Igen"</formula1>
    </dataValidation>
    <dataValidation type="decimal" operator="greaterThan" allowBlank="1" showInputMessage="1" showErrorMessage="1" sqref="B7">
      <formula1>0</formula1>
    </dataValidation>
    <dataValidation type="date" allowBlank="1" showInputMessage="1" showErrorMessage="1" sqref="B4">
      <formula1>42036</formula1>
      <formula2>51501</formula2>
    </dataValidation>
    <dataValidation type="list" allowBlank="1" showInputMessage="1" showErrorMessage="1" sqref="B41">
      <formula1>INDEX(INDIRECT("GYÁRTÓK"),,1)</formula1>
    </dataValidation>
    <dataValidation type="list" allowBlank="1" showInputMessage="1" showErrorMessage="1" sqref="C41">
      <formula1>INDIRECT($B$10)</formula1>
    </dataValidation>
    <dataValidation type="list" allowBlank="1" showInputMessage="1" showErrorMessage="1" sqref="B17">
      <formula1>INDIRECT($B$49)</formula1>
    </dataValidation>
    <dataValidation type="list" allowBlank="1" showInputMessage="1" showErrorMessage="1" sqref="C17">
      <formula1>INDIRECT($B$62)</formula1>
    </dataValidation>
    <dataValidation type="list" allowBlank="1" showInputMessage="1" showErrorMessage="1" sqref="C19">
      <formula1>E61:E62</formula1>
    </dataValidation>
    <dataValidation type="list" allowBlank="1" showInputMessage="1" showErrorMessage="1" sqref="B19">
      <formula1>INDIRECT($B$54)</formula1>
    </dataValidation>
    <dataValidation type="list" allowBlank="1" showInputMessage="1" showErrorMessage="1" sqref="D19">
      <formula1>E64:E65</formula1>
    </dataValidation>
    <dataValidation type="list" allowBlank="1" showInputMessage="1" showErrorMessage="1" sqref="D17:E17">
      <formula1>INDIRECT($B$63)</formula1>
    </dataValidation>
    <dataValidation type="list" allowBlank="1" showInputMessage="1" showErrorMessage="1" sqref="D22">
      <formula1>INDIRECT($B$65)</formula1>
    </dataValidation>
    <dataValidation type="list" allowBlank="1" showInputMessage="1" showErrorMessage="1" sqref="D21">
      <formula1>INDIRECT($B$66)</formula1>
    </dataValidation>
    <dataValidation type="list" allowBlank="1" showInputMessage="1" showErrorMessage="1" sqref="D12">
      <formula1>"80, egyedi"</formula1>
    </dataValidation>
    <dataValidation type="list" allowBlank="1" showInputMessage="1" showErrorMessage="1" sqref="C10">
      <formula1>$B$113:$B$115</formula1>
    </dataValidation>
    <dataValidation type="list" allowBlank="1" showInputMessage="1" showErrorMessage="1" sqref="B10">
      <formula1>INDIRECT($B$60)</formula1>
    </dataValidation>
    <dataValidation type="list" allowBlank="1" showInputMessage="1" showErrorMessage="1" sqref="D7">
      <formula1>"2000, 2500, 3000, egyedi"</formula1>
    </dataValidation>
    <dataValidation type="list" allowBlank="1" showInputMessage="1" showErrorMessage="1" sqref="B5:E5">
      <formula1>$A$151:$A$152</formula1>
    </dataValidation>
    <dataValidation type="list" allowBlank="1" showInputMessage="1" showErrorMessage="1" sqref="B12">
      <formula1>"Önhordó, Nem önhordó"</formula1>
    </dataValidation>
    <dataValidation type="list" allowBlank="1" showInputMessage="1" showErrorMessage="1" sqref="E12">
      <formula1>"RAL9002, horganyzott, egyedi"</formula1>
    </dataValidation>
    <dataValidation type="whole" allowBlank="1" showInputMessage="1" showErrorMessage="1" sqref="B15">
      <formula1>0</formula1>
      <formula2>100</formula2>
    </dataValidation>
    <dataValidation type="list" operator="lessThanOrEqual" allowBlank="1" showInputMessage="1" showErrorMessage="1" errorTitle="Hiba!" error="A nyílószárny szélessége nem haladhatja meg a sávfelülvilágító szélességét." sqref="D15">
      <formula1>"1000, 1200, 1500, 1800, 2000"</formula1>
    </dataValidation>
    <dataValidation type="whole" operator="lessThanOrEqual" allowBlank="1" showInputMessage="1" showErrorMessage="1" errorTitle="Hiba!" error="A nyílószárny maximális hossza 1900 mm." sqref="E15">
      <formula1>1900</formula1>
    </dataValidation>
    <dataValidation type="whole" operator="lessThanOrEqual" allowBlank="1" showInputMessage="1" showErrorMessage="1" errorTitle="Hiba!" error="Az RWA nyílószárnyak darabszáma nem lehet nagyobb az összes darabszámnál!&#10;" sqref="C15">
      <formula1>B15</formula1>
    </dataValidation>
  </dataValidations>
  <hyperlinks>
    <hyperlink ref="C18:D18" r:id="rId1" display="Vezérlés:"/>
  </hyperlinks>
  <printOptions/>
  <pageMargins left="0.5654761904761905" right="0.5952380952380952" top="0.75" bottom="0.5147058823529411" header="0.3" footer="0.3"/>
  <pageSetup horizontalDpi="600" verticalDpi="600" orientation="portrait" paperSize="9" r:id="rId5"/>
  <drawing r:id="rId4"/>
  <tableParts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F1:F1"/>
  <sheetViews>
    <sheetView zoomScalePageLayoutView="0" workbookViewId="0" topLeftCell="A1">
      <selection activeCell="C8" sqref="C8:E8"/>
    </sheetView>
  </sheetViews>
  <sheetFormatPr defaultColWidth="9.140625" defaultRowHeight="15"/>
  <cols>
    <col min="1" max="1" width="10.8515625" style="24" bestFit="1" customWidth="1"/>
    <col min="2" max="2" width="31.00390625" style="24" customWidth="1"/>
    <col min="3" max="3" width="68.421875" style="24" customWidth="1"/>
    <col min="4" max="4" width="24.8515625" style="24" customWidth="1"/>
    <col min="5" max="5" width="14.140625" style="24" customWidth="1"/>
    <col min="6" max="16384" width="9.140625" style="24" customWidth="1"/>
  </cols>
  <sheetData>
    <row r="1" ht="15">
      <c r="F1" s="24" t="s">
        <v>6</v>
      </c>
    </row>
  </sheetData>
  <sheetProtection password="A1D6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R10"/>
  <sheetViews>
    <sheetView zoomScalePageLayoutView="0" workbookViewId="0" topLeftCell="N1">
      <selection activeCell="O5" sqref="O5"/>
    </sheetView>
  </sheetViews>
  <sheetFormatPr defaultColWidth="9.140625" defaultRowHeight="30" customHeight="1"/>
  <cols>
    <col min="1" max="1" width="37.421875" style="24" customWidth="1"/>
    <col min="2" max="15" width="50.28125" style="24" customWidth="1"/>
    <col min="16" max="16" width="42.28125" style="24" customWidth="1"/>
    <col min="17" max="18" width="66.28125" style="24" customWidth="1"/>
    <col min="19" max="16384" width="9.140625" style="24" customWidth="1"/>
  </cols>
  <sheetData>
    <row r="1" spans="1:18" ht="30" customHeight="1">
      <c r="A1" s="27" t="s">
        <v>0</v>
      </c>
      <c r="B1" s="27" t="s">
        <v>1</v>
      </c>
      <c r="C1" s="27" t="s">
        <v>89</v>
      </c>
      <c r="D1" s="27" t="s">
        <v>2</v>
      </c>
      <c r="E1" s="27" t="s">
        <v>90</v>
      </c>
      <c r="F1" s="27" t="s">
        <v>91</v>
      </c>
      <c r="G1" s="27" t="s">
        <v>95</v>
      </c>
      <c r="H1" s="27" t="s">
        <v>94</v>
      </c>
      <c r="I1" s="27" t="s">
        <v>105</v>
      </c>
      <c r="J1" s="27" t="s">
        <v>111</v>
      </c>
      <c r="K1" s="27" t="s">
        <v>81</v>
      </c>
      <c r="L1" s="27" t="s">
        <v>112</v>
      </c>
      <c r="M1" s="27" t="s">
        <v>149</v>
      </c>
      <c r="N1" s="27" t="s">
        <v>150</v>
      </c>
      <c r="O1" s="27" t="s">
        <v>152</v>
      </c>
      <c r="P1" s="27" t="s">
        <v>153</v>
      </c>
      <c r="Q1" s="27" t="s">
        <v>93</v>
      </c>
      <c r="R1" s="27"/>
    </row>
    <row r="2" spans="1:18" ht="30" customHeight="1">
      <c r="A2" s="32" t="s">
        <v>166</v>
      </c>
      <c r="B2" s="33"/>
      <c r="C2" s="32" t="s">
        <v>106</v>
      </c>
      <c r="D2" s="34"/>
      <c r="E2" s="32" t="s">
        <v>166</v>
      </c>
      <c r="F2" s="34"/>
      <c r="G2" s="34" t="s">
        <v>87</v>
      </c>
      <c r="H2" s="34" t="s">
        <v>96</v>
      </c>
      <c r="I2" s="49">
        <v>2000</v>
      </c>
      <c r="J2" s="32" t="s">
        <v>159</v>
      </c>
      <c r="K2" s="34" t="s">
        <v>66</v>
      </c>
      <c r="L2" s="24" t="s">
        <v>39</v>
      </c>
      <c r="M2" s="24" t="s">
        <v>66</v>
      </c>
      <c r="N2" s="32" t="s">
        <v>166</v>
      </c>
      <c r="O2" s="24" t="s">
        <v>80</v>
      </c>
      <c r="P2" s="32" t="s">
        <v>166</v>
      </c>
      <c r="Q2" s="24" t="s">
        <v>151</v>
      </c>
      <c r="R2" s="35"/>
    </row>
    <row r="3" spans="1:18" ht="30" customHeight="1">
      <c r="A3" s="32" t="s">
        <v>165</v>
      </c>
      <c r="B3" s="33" t="s">
        <v>66</v>
      </c>
      <c r="C3" s="32" t="s">
        <v>169</v>
      </c>
      <c r="D3" s="24" t="s">
        <v>82</v>
      </c>
      <c r="E3" s="32" t="s">
        <v>165</v>
      </c>
      <c r="F3" s="34"/>
      <c r="G3" s="34" t="s">
        <v>87</v>
      </c>
      <c r="H3" s="34" t="s">
        <v>86</v>
      </c>
      <c r="I3" s="49">
        <v>2500</v>
      </c>
      <c r="J3" s="32" t="s">
        <v>159</v>
      </c>
      <c r="K3" s="34" t="s">
        <v>66</v>
      </c>
      <c r="L3" s="24" t="s">
        <v>62</v>
      </c>
      <c r="M3" s="24" t="s">
        <v>45</v>
      </c>
      <c r="N3" s="32" t="s">
        <v>165</v>
      </c>
      <c r="O3" s="24" t="s">
        <v>80</v>
      </c>
      <c r="P3" s="32" t="s">
        <v>166</v>
      </c>
      <c r="Q3" s="24" t="s">
        <v>80</v>
      </c>
      <c r="R3" s="35"/>
    </row>
    <row r="4" spans="1:18" ht="30" customHeight="1">
      <c r="A4" s="32" t="s">
        <v>165</v>
      </c>
      <c r="B4" s="37" t="s">
        <v>45</v>
      </c>
      <c r="C4" s="32" t="s">
        <v>169</v>
      </c>
      <c r="D4" s="63" t="s">
        <v>83</v>
      </c>
      <c r="E4" s="32" t="s">
        <v>165</v>
      </c>
      <c r="F4" s="24" t="s">
        <v>87</v>
      </c>
      <c r="G4" s="34" t="s">
        <v>88</v>
      </c>
      <c r="H4" s="34" t="s">
        <v>106</v>
      </c>
      <c r="I4" s="49">
        <v>2500</v>
      </c>
      <c r="J4" s="32" t="s">
        <v>55</v>
      </c>
      <c r="K4" s="32" t="s">
        <v>45</v>
      </c>
      <c r="L4" s="32" t="s">
        <v>106</v>
      </c>
      <c r="M4" s="32"/>
      <c r="N4" s="32" t="s">
        <v>165</v>
      </c>
      <c r="O4" s="34" t="s">
        <v>151</v>
      </c>
      <c r="P4" s="32" t="s">
        <v>165</v>
      </c>
      <c r="Q4" s="34" t="s">
        <v>151</v>
      </c>
      <c r="R4" s="35"/>
    </row>
    <row r="5" spans="1:17" ht="30" customHeight="1">
      <c r="A5" s="32"/>
      <c r="B5" s="33" t="s">
        <v>66</v>
      </c>
      <c r="C5" s="32" t="s">
        <v>169</v>
      </c>
      <c r="D5" s="63" t="s">
        <v>84</v>
      </c>
      <c r="E5" s="32" t="s">
        <v>165</v>
      </c>
      <c r="F5" s="24" t="s">
        <v>88</v>
      </c>
      <c r="G5" s="34">
        <v>0</v>
      </c>
      <c r="I5" s="49">
        <v>3000</v>
      </c>
      <c r="J5" s="24" t="s">
        <v>159</v>
      </c>
      <c r="K5" s="24">
        <v>0</v>
      </c>
      <c r="L5" s="24" t="s">
        <v>106</v>
      </c>
      <c r="N5" s="32"/>
      <c r="P5" s="32" t="s">
        <v>165</v>
      </c>
      <c r="Q5" s="24" t="s">
        <v>80</v>
      </c>
    </row>
    <row r="6" spans="1:17" ht="30" customHeight="1">
      <c r="A6" s="32"/>
      <c r="B6" s="33"/>
      <c r="C6" s="32"/>
      <c r="D6" s="63"/>
      <c r="I6" s="49">
        <v>3000</v>
      </c>
      <c r="J6" s="24" t="s">
        <v>55</v>
      </c>
      <c r="N6" s="32"/>
      <c r="P6" s="32"/>
      <c r="Q6" s="24" t="s">
        <v>151</v>
      </c>
    </row>
    <row r="7" spans="4:17" ht="30" customHeight="1">
      <c r="D7" s="55"/>
      <c r="I7" s="32" t="s">
        <v>53</v>
      </c>
      <c r="J7" s="24" t="s">
        <v>159</v>
      </c>
      <c r="P7" s="32"/>
      <c r="Q7" s="24" t="s">
        <v>80</v>
      </c>
    </row>
    <row r="8" spans="9:17" ht="30" customHeight="1">
      <c r="I8" s="32" t="s">
        <v>53</v>
      </c>
      <c r="J8" s="24" t="s">
        <v>55</v>
      </c>
      <c r="P8" s="32"/>
      <c r="Q8" s="24" t="s">
        <v>80</v>
      </c>
    </row>
    <row r="10" spans="2:16" ht="30" customHeight="1">
      <c r="B10" s="38" t="s">
        <v>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26:A164"/>
  <sheetViews>
    <sheetView zoomScale="70" zoomScaleNormal="70" zoomScalePageLayoutView="0" workbookViewId="0" topLeftCell="A1">
      <selection activeCell="C8" sqref="C8:E8"/>
    </sheetView>
  </sheetViews>
  <sheetFormatPr defaultColWidth="9.140625" defaultRowHeight="15"/>
  <cols>
    <col min="1" max="1" width="37.421875" style="24" customWidth="1"/>
    <col min="2" max="2" width="50.28125" style="24" customWidth="1"/>
    <col min="3" max="3" width="66.28125" style="24" customWidth="1"/>
    <col min="4" max="7" width="9.140625" style="24" customWidth="1"/>
    <col min="8" max="8" width="10.28125" style="24" bestFit="1" customWidth="1"/>
    <col min="9" max="16384" width="9.140625" style="24" customWidth="1"/>
  </cols>
  <sheetData>
    <row r="126" ht="15">
      <c r="A126" s="24">
        <v>0.83</v>
      </c>
    </row>
    <row r="127" ht="15">
      <c r="A127" s="24">
        <v>3.121</v>
      </c>
    </row>
    <row r="128" ht="15">
      <c r="A128" s="24" t="s">
        <v>69</v>
      </c>
    </row>
    <row r="129" ht="15">
      <c r="A129" s="24">
        <v>3.24</v>
      </c>
    </row>
    <row r="130" ht="15">
      <c r="A130" s="24">
        <v>0.67</v>
      </c>
    </row>
    <row r="131" ht="15">
      <c r="A131" s="24">
        <v>2.171</v>
      </c>
    </row>
    <row r="132" ht="15">
      <c r="A132" s="24">
        <v>0.83</v>
      </c>
    </row>
    <row r="133" ht="15">
      <c r="A133" s="24">
        <v>2.694</v>
      </c>
    </row>
    <row r="134" ht="15">
      <c r="A134" s="24" t="s">
        <v>70</v>
      </c>
    </row>
    <row r="135" ht="15">
      <c r="A135" s="24">
        <v>3.6</v>
      </c>
    </row>
    <row r="136" ht="15">
      <c r="A136" s="24">
        <v>0.66</v>
      </c>
    </row>
    <row r="137" ht="15">
      <c r="A137" s="24">
        <v>2.376</v>
      </c>
    </row>
    <row r="138" ht="15">
      <c r="A138" s="24">
        <v>0.83</v>
      </c>
    </row>
    <row r="139" ht="15">
      <c r="A139" s="24">
        <v>2.997</v>
      </c>
    </row>
    <row r="140" ht="15">
      <c r="A140" s="24" t="s">
        <v>71</v>
      </c>
    </row>
    <row r="141" ht="15">
      <c r="A141" s="24">
        <v>3.78</v>
      </c>
    </row>
    <row r="142" ht="15">
      <c r="A142" s="24">
        <v>0.65</v>
      </c>
    </row>
    <row r="143" ht="15">
      <c r="A143" s="24">
        <v>2.457</v>
      </c>
    </row>
    <row r="144" ht="15">
      <c r="A144" s="24">
        <v>0.83</v>
      </c>
    </row>
    <row r="145" ht="15">
      <c r="A145" s="24">
        <v>3.148</v>
      </c>
    </row>
    <row r="146" ht="15">
      <c r="A146" s="24" t="s">
        <v>72</v>
      </c>
    </row>
    <row r="147" ht="15">
      <c r="A147" s="24">
        <v>4.32</v>
      </c>
    </row>
    <row r="148" ht="15">
      <c r="A148" s="24">
        <v>0.63</v>
      </c>
    </row>
    <row r="149" ht="15">
      <c r="A149" s="24">
        <v>2.722</v>
      </c>
    </row>
    <row r="150" ht="15">
      <c r="A150" s="24">
        <v>0.83</v>
      </c>
    </row>
    <row r="151" ht="15">
      <c r="A151" s="24">
        <v>3.602</v>
      </c>
    </row>
    <row r="152" ht="15">
      <c r="A152" s="24" t="s">
        <v>73</v>
      </c>
    </row>
    <row r="153" ht="15">
      <c r="A153" s="24">
        <v>4.5</v>
      </c>
    </row>
    <row r="154" ht="15">
      <c r="A154" s="24">
        <v>0.62</v>
      </c>
    </row>
    <row r="155" ht="15">
      <c r="A155" s="24">
        <v>2.79</v>
      </c>
    </row>
    <row r="156" ht="15">
      <c r="A156" s="24">
        <v>0.83</v>
      </c>
    </row>
    <row r="157" ht="15">
      <c r="A157" s="24">
        <v>3.754</v>
      </c>
    </row>
    <row r="158" ht="15">
      <c r="A158" s="24" t="s">
        <v>74</v>
      </c>
    </row>
    <row r="159" ht="15">
      <c r="A159" s="24" t="s">
        <v>75</v>
      </c>
    </row>
    <row r="160" ht="15">
      <c r="A160" s="24" t="s">
        <v>76</v>
      </c>
    </row>
    <row r="161" ht="15">
      <c r="A161" s="24" t="s">
        <v>77</v>
      </c>
    </row>
    <row r="162" ht="15">
      <c r="A162" s="24">
        <v>11</v>
      </c>
    </row>
    <row r="163" ht="15">
      <c r="A163" s="24" t="s">
        <v>78</v>
      </c>
    </row>
    <row r="164" ht="15">
      <c r="A164" s="24" t="s">
        <v>79</v>
      </c>
    </row>
  </sheetData>
  <sheetProtection password="A1D6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Réger Bálint</dc:creator>
  <cp:keywords/>
  <dc:description/>
  <cp:lastModifiedBy>Réger Bálint</cp:lastModifiedBy>
  <cp:lastPrinted>2015-03-31T07:38:07Z</cp:lastPrinted>
  <dcterms:created xsi:type="dcterms:W3CDTF">2013-11-20T10:15:09Z</dcterms:created>
  <dcterms:modified xsi:type="dcterms:W3CDTF">2015-03-31T08:08:20Z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